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ase Rate Case (2017) (PNG)\CDs for Rosemary Chiavetta\CD 2\2017 UGI PNG BOOK II ATTACHMENTS\"/>
    </mc:Choice>
  </mc:AlternateContent>
  <bookViews>
    <workbookView xWindow="0" yWindow="0" windowWidth="28800" windowHeight="11610" tabRatio="828" activeTab="5"/>
  </bookViews>
  <sheets>
    <sheet name="Attachment SDR-COS-8.2" sheetId="22" r:id="rId1"/>
    <sheet name="Linkin" sheetId="15" r:id="rId2"/>
    <sheet name="Alloc" sheetId="8" r:id="rId3"/>
    <sheet name="ROR" sheetId="11" r:id="rId4"/>
    <sheet name="Sched.A" sheetId="10" r:id="rId5"/>
    <sheet name="Ft  1to4" sheetId="1" r:id="rId6"/>
    <sheet name="Ftr 3 &amp; 6" sheetId="2" r:id="rId7"/>
    <sheet name="FTR 5&amp; 5A" sheetId="16" r:id="rId8"/>
    <sheet name="Ft 7to9" sheetId="3" r:id="rId9"/>
    <sheet name="Ft 10to14" sheetId="5" r:id="rId10"/>
    <sheet name="Ft 15to21" sheetId="6" r:id="rId11"/>
    <sheet name="customer" sheetId="7" r:id="rId12"/>
    <sheet name="Demand" sheetId="21" r:id="rId13"/>
  </sheets>
  <externalReferences>
    <externalReference r:id="rId14"/>
    <externalReference r:id="rId15"/>
  </externalReferences>
  <definedNames>
    <definedName name="check">Linkin!#REF!</definedName>
    <definedName name="checkk">Linkin!$D$54</definedName>
    <definedName name="COMP1">'Ft 10to14'!$A$1:$F$115</definedName>
    <definedName name="COMP2">'Ft 15to21'!$A$1:$E$57</definedName>
    <definedName name="Deprate">[1]Deprate!$A$1:$S$187</definedName>
    <definedName name="Descriptions">[1]Descriptions!$A$1:$C$40</definedName>
    <definedName name="FACT1">'Ft  1to4'!$A$1:$L$77</definedName>
    <definedName name="FACT10">'Ft 15to21'!$A$1:$E$22</definedName>
    <definedName name="FACT2">'Ftr 3 &amp; 6'!#REF!</definedName>
    <definedName name="FACT3">'Ft 7to9'!$A$1:$J$5</definedName>
    <definedName name="FACT7">'Ft 10to14'!$A$1:$E$83</definedName>
    <definedName name="factor">'Ftr 3 &amp; 6'!#REF!</definedName>
    <definedName name="factors">Alloc!$J$320:$AG$361</definedName>
    <definedName name="_xlnm.Print_Area" localSheetId="2">Alloc!$C$234:$AG$315</definedName>
    <definedName name="_xlnm.Print_Area" localSheetId="11">customer!$A$9:$Q$86</definedName>
    <definedName name="_xlnm.Print_Area" localSheetId="12">Demand!$B$2:$H$24</definedName>
    <definedName name="_xlnm.Print_Area" localSheetId="5">'Ft  1to4'!$O$28:$Z$75</definedName>
    <definedName name="_xlnm.Print_Area" localSheetId="9">'Ft 10to14'!$A$80:$E$134</definedName>
    <definedName name="_xlnm.Print_Area" localSheetId="10">'Ft 15to21'!$A$58:$E$136</definedName>
    <definedName name="_xlnm.Print_Area" localSheetId="8">'Ft 7to9'!$A$1:$J$63</definedName>
    <definedName name="_xlnm.Print_Area" localSheetId="6">'Ftr 3 &amp; 6'!$A$46:$J$125</definedName>
    <definedName name="_xlnm.Print_Area" localSheetId="7">'FTR 5&amp; 5A'!$A$1:$N$26</definedName>
    <definedName name="_xlnm.Print_Area" localSheetId="3">ROR!$A$100:$P$134</definedName>
    <definedName name="_xlnm.Print_Area" localSheetId="4">Sched.A!$A$82:$R$111</definedName>
    <definedName name="_xlnm.Print_Area">'Ft  1to4'!$B$77:$N$94</definedName>
    <definedName name="_xlnm.Print_Titles" localSheetId="2">Alloc!$3:$13</definedName>
    <definedName name="_xlnm.Print_Titles" localSheetId="11">customer!$1:$8</definedName>
    <definedName name="_xlnm.Print_Titles" localSheetId="7">'FTR 5&amp; 5A'!$1:$3</definedName>
    <definedName name="XHWXK">Alloc!$B$178</definedName>
    <definedName name="Year">[1]Descriptions!$L$1</definedName>
  </definedNames>
  <calcPr calcId="171027"/>
</workbook>
</file>

<file path=xl/calcChain.xml><?xml version="1.0" encoding="utf-8"?>
<calcChain xmlns="http://schemas.openxmlformats.org/spreadsheetml/2006/main">
  <c r="L352" i="8" l="1"/>
  <c r="N352" i="8"/>
  <c r="P352" i="8"/>
  <c r="R352" i="8"/>
  <c r="T352" i="8"/>
  <c r="V352" i="8"/>
  <c r="X352" i="8"/>
  <c r="Z352" i="8"/>
  <c r="AB352" i="8"/>
  <c r="AD352" i="8"/>
  <c r="AF352" i="8"/>
  <c r="L350" i="8"/>
  <c r="N350" i="8"/>
  <c r="P350" i="8"/>
  <c r="R350" i="8"/>
  <c r="T350" i="8"/>
  <c r="V350" i="8"/>
  <c r="X350" i="8"/>
  <c r="Z350" i="8"/>
  <c r="AB350" i="8"/>
  <c r="AD350" i="8"/>
  <c r="AF350" i="8"/>
  <c r="L348" i="8"/>
  <c r="N348" i="8"/>
  <c r="P348" i="8"/>
  <c r="R348" i="8"/>
  <c r="T348" i="8"/>
  <c r="V348" i="8"/>
  <c r="X348" i="8"/>
  <c r="Z348" i="8"/>
  <c r="AB348" i="8"/>
  <c r="AD348" i="8"/>
  <c r="AF348" i="8"/>
  <c r="L344" i="8"/>
  <c r="N344" i="8"/>
  <c r="P344" i="8"/>
  <c r="R344" i="8"/>
  <c r="T344" i="8"/>
  <c r="V344" i="8"/>
  <c r="X344" i="8"/>
  <c r="Z344" i="8"/>
  <c r="AB344" i="8"/>
  <c r="AD344" i="8"/>
  <c r="AF344" i="8"/>
  <c r="L342" i="8"/>
  <c r="N342" i="8"/>
  <c r="P342" i="8"/>
  <c r="R342" i="8"/>
  <c r="T342" i="8"/>
  <c r="V342" i="8"/>
  <c r="X342" i="8"/>
  <c r="Z342" i="8"/>
  <c r="AB342" i="8"/>
  <c r="AD342" i="8"/>
  <c r="AF342" i="8"/>
  <c r="H114" i="10" l="1"/>
  <c r="O170" i="11" l="1"/>
  <c r="M170" i="11"/>
  <c r="K170" i="11"/>
  <c r="I170" i="11"/>
  <c r="G170" i="11"/>
  <c r="O157" i="11"/>
  <c r="M157" i="11"/>
  <c r="K157" i="11"/>
  <c r="I157" i="11"/>
  <c r="G157" i="11"/>
  <c r="W120" i="8" l="1"/>
  <c r="I30" i="7" l="1"/>
  <c r="K30" i="7"/>
  <c r="M30" i="7"/>
  <c r="O30" i="7"/>
  <c r="P30" i="7"/>
  <c r="Q30" i="7"/>
  <c r="I38" i="7"/>
  <c r="O38" i="7"/>
  <c r="P38" i="7"/>
  <c r="Q38" i="7"/>
  <c r="AI120" i="8"/>
  <c r="M38" i="7"/>
  <c r="K38" i="7"/>
  <c r="W101" i="8"/>
  <c r="AI101" i="8" s="1"/>
  <c r="G38" i="7" l="1"/>
  <c r="E38" i="7" s="1"/>
  <c r="G30" i="7"/>
  <c r="E30" i="7" s="1"/>
  <c r="G129" i="11" l="1"/>
  <c r="I129" i="11"/>
  <c r="K129" i="11"/>
  <c r="M129" i="11"/>
  <c r="O129" i="11"/>
  <c r="G116" i="11"/>
  <c r="I116" i="11"/>
  <c r="K116" i="11"/>
  <c r="M116" i="11"/>
  <c r="O116" i="11"/>
  <c r="H168" i="15" l="1"/>
  <c r="I180" i="8" l="1"/>
  <c r="G366" i="8" l="1"/>
  <c r="G396" i="8"/>
  <c r="R122" i="2" l="1"/>
  <c r="O124" i="2"/>
  <c r="N99" i="1"/>
  <c r="I242" i="8" l="1"/>
  <c r="I240" i="8"/>
  <c r="I241" i="8"/>
  <c r="I154" i="8"/>
  <c r="I155" i="8"/>
  <c r="I156" i="8"/>
  <c r="B240" i="8" l="1"/>
  <c r="B123" i="8"/>
  <c r="I46" i="8"/>
  <c r="H11" i="15"/>
  <c r="I23" i="8" s="1"/>
  <c r="H84" i="15"/>
  <c r="I102" i="8"/>
  <c r="I226" i="8"/>
  <c r="H23" i="15"/>
  <c r="I35" i="8" s="1"/>
  <c r="H26" i="15"/>
  <c r="I36" i="8" s="1"/>
  <c r="H29" i="15"/>
  <c r="I37" i="8" s="1"/>
  <c r="H30" i="15"/>
  <c r="I38" i="8" s="1"/>
  <c r="H31" i="15"/>
  <c r="I39" i="8" s="1"/>
  <c r="H32" i="15"/>
  <c r="I40" i="8" s="1"/>
  <c r="H8" i="15"/>
  <c r="I20" i="8" s="1"/>
  <c r="H10" i="15"/>
  <c r="I22" i="8" s="1"/>
  <c r="H15" i="15"/>
  <c r="I27" i="8" s="1"/>
  <c r="H16" i="15"/>
  <c r="I28" i="8" s="1"/>
  <c r="H17" i="15"/>
  <c r="H18" i="15"/>
  <c r="I30" i="8" s="1"/>
  <c r="H117" i="15"/>
  <c r="I141" i="8" s="1"/>
  <c r="H118" i="15"/>
  <c r="I142" i="8" s="1"/>
  <c r="H104" i="15"/>
  <c r="I128" i="8" s="1"/>
  <c r="H105" i="15"/>
  <c r="I129" i="8" s="1"/>
  <c r="H106" i="15"/>
  <c r="H107" i="15"/>
  <c r="I131" i="8" s="1"/>
  <c r="H108" i="15"/>
  <c r="I132" i="8" s="1"/>
  <c r="H109" i="15"/>
  <c r="I133" i="8" s="1"/>
  <c r="H110" i="15"/>
  <c r="I134" i="8" s="1"/>
  <c r="H111" i="15"/>
  <c r="I135" i="8" s="1"/>
  <c r="H112" i="15"/>
  <c r="I136" i="8" s="1"/>
  <c r="H113" i="15"/>
  <c r="I137" i="8" s="1"/>
  <c r="H96" i="15"/>
  <c r="I118" i="8" s="1"/>
  <c r="H97" i="15"/>
  <c r="I119" i="8" s="1"/>
  <c r="H98" i="15"/>
  <c r="H99" i="15"/>
  <c r="I122" i="8" s="1"/>
  <c r="H89" i="15"/>
  <c r="H90" i="15"/>
  <c r="I110" i="8" s="1"/>
  <c r="O110" i="8" s="1"/>
  <c r="H91" i="15"/>
  <c r="I111" i="8" s="1"/>
  <c r="H92" i="15"/>
  <c r="I112" i="8" s="1"/>
  <c r="H81" i="15"/>
  <c r="I98" i="8" s="1"/>
  <c r="H82" i="15"/>
  <c r="H83" i="15"/>
  <c r="H85" i="15"/>
  <c r="I103" i="8" s="1"/>
  <c r="H65" i="15"/>
  <c r="I79" i="8" s="1"/>
  <c r="H67" i="15"/>
  <c r="H68" i="15"/>
  <c r="I83" i="8" s="1"/>
  <c r="AI83" i="8" s="1"/>
  <c r="H69" i="15"/>
  <c r="I84" i="8" s="1"/>
  <c r="H70" i="15"/>
  <c r="I85" i="8" s="1"/>
  <c r="H71" i="15"/>
  <c r="I86" i="8" s="1"/>
  <c r="H72" i="15"/>
  <c r="I87" i="8" s="1"/>
  <c r="U87" i="8" s="1"/>
  <c r="H73" i="15"/>
  <c r="I88" i="8" s="1"/>
  <c r="H74" i="15"/>
  <c r="I89" i="8" s="1"/>
  <c r="H75" i="15"/>
  <c r="I90" i="8" s="1"/>
  <c r="H50" i="15"/>
  <c r="I61" i="8" s="1"/>
  <c r="H51" i="15"/>
  <c r="I62" i="8" s="1"/>
  <c r="H52" i="15"/>
  <c r="I63" i="8" s="1"/>
  <c r="H53" i="15"/>
  <c r="I64" i="8" s="1"/>
  <c r="H54" i="15"/>
  <c r="A65" i="8" s="1"/>
  <c r="H55" i="15"/>
  <c r="I69" i="8" s="1"/>
  <c r="H56" i="15"/>
  <c r="I70" i="8" s="1"/>
  <c r="K70" i="8" s="1"/>
  <c r="H57" i="15"/>
  <c r="I71" i="8" s="1"/>
  <c r="H58" i="15"/>
  <c r="I72" i="8" s="1"/>
  <c r="Q72" i="8" s="1"/>
  <c r="H59" i="15"/>
  <c r="I73" i="8" s="1"/>
  <c r="H60" i="15"/>
  <c r="I74" i="8" s="1"/>
  <c r="H61" i="15"/>
  <c r="I75" i="8" s="1"/>
  <c r="H40" i="15"/>
  <c r="H41" i="15"/>
  <c r="H42" i="15"/>
  <c r="I48" i="8" s="1"/>
  <c r="H46" i="15"/>
  <c r="I54" i="8" s="1"/>
  <c r="H126" i="15"/>
  <c r="I205" i="8" s="1"/>
  <c r="H127" i="15"/>
  <c r="I206" i="8" s="1"/>
  <c r="H128" i="15"/>
  <c r="H129" i="15"/>
  <c r="H130" i="15"/>
  <c r="H131" i="15"/>
  <c r="I208" i="8" s="1"/>
  <c r="H125" i="15"/>
  <c r="I209" i="8" s="1"/>
  <c r="I198" i="8"/>
  <c r="I167" i="8"/>
  <c r="I217" i="8"/>
  <c r="I215" i="8"/>
  <c r="E18" i="2"/>
  <c r="G40" i="2" s="1"/>
  <c r="E19" i="2"/>
  <c r="G41" i="2" s="1"/>
  <c r="D76" i="11"/>
  <c r="D165" i="11" s="1"/>
  <c r="E20" i="2"/>
  <c r="G42" i="2" s="1"/>
  <c r="E22" i="2"/>
  <c r="E18" i="3"/>
  <c r="N62" i="2" s="1"/>
  <c r="Q49" i="1"/>
  <c r="M87" i="1"/>
  <c r="R19" i="1"/>
  <c r="R20" i="1"/>
  <c r="R21" i="1"/>
  <c r="C19" i="2" s="1"/>
  <c r="M86" i="1"/>
  <c r="M88" i="1"/>
  <c r="M90" i="1"/>
  <c r="Q90" i="1" s="1"/>
  <c r="M91" i="1"/>
  <c r="M96" i="1"/>
  <c r="M97" i="1"/>
  <c r="S318" i="8"/>
  <c r="V48" i="1"/>
  <c r="S242" i="8"/>
  <c r="AI242" i="8" s="1"/>
  <c r="K248" i="8"/>
  <c r="K252" i="8"/>
  <c r="K253" i="8"/>
  <c r="K254" i="8"/>
  <c r="K255" i="8"/>
  <c r="R23" i="1"/>
  <c r="C22" i="2" s="1"/>
  <c r="R24" i="1"/>
  <c r="D23" i="16" s="1"/>
  <c r="L354" i="8"/>
  <c r="N354" i="8"/>
  <c r="P354" i="8"/>
  <c r="R354" i="8"/>
  <c r="T354" i="8"/>
  <c r="V73" i="1"/>
  <c r="E17" i="3"/>
  <c r="E19" i="3"/>
  <c r="N63" i="2" s="1"/>
  <c r="Z63" i="2" s="1"/>
  <c r="E20" i="3"/>
  <c r="N64" i="2" s="1"/>
  <c r="E21" i="3"/>
  <c r="N65" i="2" s="1"/>
  <c r="P65" i="2" s="1"/>
  <c r="Y318" i="8"/>
  <c r="AA318" i="8" s="1"/>
  <c r="Q102" i="8"/>
  <c r="Q118" i="8"/>
  <c r="E38" i="3"/>
  <c r="E39" i="3"/>
  <c r="E40" i="3"/>
  <c r="E41" i="3"/>
  <c r="I305" i="8"/>
  <c r="I306" i="8"/>
  <c r="D19" i="1"/>
  <c r="D20" i="1"/>
  <c r="I307" i="8"/>
  <c r="I308" i="8"/>
  <c r="I310" i="8"/>
  <c r="Y244" i="8"/>
  <c r="W244" i="8"/>
  <c r="U248" i="8"/>
  <c r="U252" i="8"/>
  <c r="U253" i="8"/>
  <c r="U254" i="8"/>
  <c r="U255" i="8"/>
  <c r="D24" i="1"/>
  <c r="S248" i="8"/>
  <c r="S252" i="8"/>
  <c r="S253" i="8"/>
  <c r="S254" i="8"/>
  <c r="S255" i="8"/>
  <c r="D23" i="1"/>
  <c r="Q248" i="8"/>
  <c r="Q252" i="8"/>
  <c r="Q253" i="8"/>
  <c r="Q254" i="8"/>
  <c r="Q255" i="8"/>
  <c r="O248" i="8"/>
  <c r="O252" i="8"/>
  <c r="O253" i="8"/>
  <c r="O254" i="8"/>
  <c r="O255" i="8"/>
  <c r="M248" i="8"/>
  <c r="M252" i="8"/>
  <c r="M253" i="8"/>
  <c r="M254" i="8"/>
  <c r="M255" i="8"/>
  <c r="J281" i="8"/>
  <c r="L281" i="8"/>
  <c r="N281" i="8"/>
  <c r="P281" i="8"/>
  <c r="R281" i="8"/>
  <c r="T281" i="8"/>
  <c r="V281" i="8"/>
  <c r="X281" i="8"/>
  <c r="Z281" i="8"/>
  <c r="AB281" i="8"/>
  <c r="AD281" i="8"/>
  <c r="AF281" i="8"/>
  <c r="AH281" i="8"/>
  <c r="I277" i="8"/>
  <c r="I276" i="8"/>
  <c r="A93" i="15"/>
  <c r="H24" i="15"/>
  <c r="H25" i="15"/>
  <c r="H28" i="15"/>
  <c r="I106" i="15"/>
  <c r="I107" i="15"/>
  <c r="I108" i="15"/>
  <c r="I404" i="8" s="1"/>
  <c r="I109" i="15"/>
  <c r="I411" i="8" s="1"/>
  <c r="I110" i="15"/>
  <c r="I111" i="15"/>
  <c r="I112" i="15"/>
  <c r="I113" i="15"/>
  <c r="I118" i="15"/>
  <c r="I99" i="15"/>
  <c r="I91" i="15"/>
  <c r="I92" i="15"/>
  <c r="I399" i="8" s="1"/>
  <c r="I81" i="15"/>
  <c r="I393" i="8" s="1"/>
  <c r="I83" i="15"/>
  <c r="I395" i="8" s="1"/>
  <c r="I84" i="15"/>
  <c r="I85" i="15"/>
  <c r="I396" i="8" s="1"/>
  <c r="I67" i="15"/>
  <c r="A384" i="8" s="1"/>
  <c r="I68" i="15"/>
  <c r="I70" i="15"/>
  <c r="I387" i="8" s="1"/>
  <c r="I71" i="15"/>
  <c r="I388" i="8" s="1"/>
  <c r="I72" i="15"/>
  <c r="I389" i="8" s="1"/>
  <c r="I75" i="15"/>
  <c r="I392" i="8" s="1"/>
  <c r="I52" i="15"/>
  <c r="I53" i="15"/>
  <c r="I56" i="15"/>
  <c r="I376" i="8" s="1"/>
  <c r="I57" i="15"/>
  <c r="I377" i="8" s="1"/>
  <c r="I60" i="15"/>
  <c r="I380" i="8" s="1"/>
  <c r="I61" i="15"/>
  <c r="I381" i="8" s="1"/>
  <c r="I23" i="15"/>
  <c r="I24" i="15"/>
  <c r="I25" i="15"/>
  <c r="I26" i="15"/>
  <c r="I27" i="15"/>
  <c r="I28" i="15"/>
  <c r="I29" i="15"/>
  <c r="I31" i="15"/>
  <c r="I32" i="15"/>
  <c r="I7" i="15"/>
  <c r="I11" i="15"/>
  <c r="I365" i="8" s="1"/>
  <c r="I15" i="15"/>
  <c r="B43" i="15"/>
  <c r="I45" i="15"/>
  <c r="I367" i="8" s="1"/>
  <c r="I237" i="8"/>
  <c r="I238" i="8"/>
  <c r="I239" i="8"/>
  <c r="I243" i="8"/>
  <c r="I245" i="8"/>
  <c r="I249" i="8"/>
  <c r="I250" i="8"/>
  <c r="S250" i="8" s="1"/>
  <c r="I251" i="8"/>
  <c r="I256" i="8"/>
  <c r="W335" i="8"/>
  <c r="Y335" i="8"/>
  <c r="I262" i="8"/>
  <c r="I265" i="8"/>
  <c r="I266" i="8"/>
  <c r="I267" i="8"/>
  <c r="I280" i="8"/>
  <c r="I285" i="8"/>
  <c r="I289" i="8"/>
  <c r="I296" i="8"/>
  <c r="I297" i="8"/>
  <c r="I292" i="8"/>
  <c r="W299" i="8"/>
  <c r="Y299" i="8"/>
  <c r="H137" i="15"/>
  <c r="I152" i="8" s="1"/>
  <c r="K162" i="8"/>
  <c r="I186" i="8"/>
  <c r="I191" i="8"/>
  <c r="I195" i="8"/>
  <c r="I199" i="8"/>
  <c r="M162" i="8"/>
  <c r="O162" i="8"/>
  <c r="Q162" i="8"/>
  <c r="S162" i="8"/>
  <c r="S156" i="8"/>
  <c r="AI156" i="8" s="1"/>
  <c r="U162" i="8"/>
  <c r="H212" i="15"/>
  <c r="I224" i="8"/>
  <c r="I223" i="8"/>
  <c r="E79" i="7"/>
  <c r="F68" i="2"/>
  <c r="N80" i="7"/>
  <c r="P80" i="7"/>
  <c r="L103" i="10"/>
  <c r="L101" i="10"/>
  <c r="L99" i="10"/>
  <c r="L95" i="10"/>
  <c r="H103" i="10"/>
  <c r="A6" i="11"/>
  <c r="A99" i="11"/>
  <c r="A140" i="11"/>
  <c r="A51" i="11"/>
  <c r="Q169" i="11"/>
  <c r="Q168" i="11"/>
  <c r="O167" i="11"/>
  <c r="M167" i="11"/>
  <c r="K167" i="11"/>
  <c r="I167" i="11"/>
  <c r="G167" i="11"/>
  <c r="E167" i="11"/>
  <c r="Q166" i="11"/>
  <c r="Q164" i="11"/>
  <c r="O163" i="11"/>
  <c r="M163" i="11"/>
  <c r="K163" i="11"/>
  <c r="I163" i="11"/>
  <c r="G163" i="11"/>
  <c r="Q162" i="11"/>
  <c r="Q160" i="11"/>
  <c r="Q158" i="11"/>
  <c r="Q156" i="11"/>
  <c r="Q154" i="11"/>
  <c r="O153" i="11"/>
  <c r="O155" i="11" s="1"/>
  <c r="M153" i="11"/>
  <c r="K153" i="11"/>
  <c r="K155" i="11" s="1"/>
  <c r="I153" i="11"/>
  <c r="G153" i="11"/>
  <c r="G155" i="11" s="1"/>
  <c r="E153" i="11"/>
  <c r="E155" i="11" s="1"/>
  <c r="O152" i="11"/>
  <c r="M152" i="11"/>
  <c r="M155" i="11" s="1"/>
  <c r="K152" i="11"/>
  <c r="I152" i="11"/>
  <c r="I155" i="11" s="1"/>
  <c r="G152" i="11"/>
  <c r="E152" i="11"/>
  <c r="N149" i="11"/>
  <c r="E126" i="11"/>
  <c r="G126" i="11"/>
  <c r="I126" i="11"/>
  <c r="K126" i="11"/>
  <c r="M126" i="11"/>
  <c r="O126" i="11"/>
  <c r="G122" i="11"/>
  <c r="I122" i="11"/>
  <c r="K122" i="11"/>
  <c r="M122" i="11"/>
  <c r="O122" i="11"/>
  <c r="Q128" i="11"/>
  <c r="Q127" i="11"/>
  <c r="Q125" i="11"/>
  <c r="Q123" i="11"/>
  <c r="Q121" i="11"/>
  <c r="Q119" i="11"/>
  <c r="Q117" i="11"/>
  <c r="Q115" i="11"/>
  <c r="Q113" i="11"/>
  <c r="E112" i="11"/>
  <c r="G112" i="11"/>
  <c r="G114" i="11"/>
  <c r="I112" i="11"/>
  <c r="K112" i="11"/>
  <c r="K114" i="11"/>
  <c r="M112" i="11"/>
  <c r="O112" i="11"/>
  <c r="O114" i="11"/>
  <c r="E111" i="11"/>
  <c r="E114" i="11" s="1"/>
  <c r="G111" i="11"/>
  <c r="I111" i="11"/>
  <c r="I114" i="11" s="1"/>
  <c r="K111" i="11"/>
  <c r="M111" i="11"/>
  <c r="M114" i="11" s="1"/>
  <c r="O111" i="11"/>
  <c r="N108" i="11"/>
  <c r="D120" i="11"/>
  <c r="E99" i="2"/>
  <c r="T58" i="2"/>
  <c r="I58" i="2" s="1"/>
  <c r="L37" i="10"/>
  <c r="L93" i="10"/>
  <c r="T329" i="8"/>
  <c r="R328" i="8"/>
  <c r="T328" i="8"/>
  <c r="T327" i="8"/>
  <c r="G391" i="8"/>
  <c r="G385" i="8"/>
  <c r="G384" i="8"/>
  <c r="G377" i="8"/>
  <c r="G378" i="8"/>
  <c r="G370" i="8"/>
  <c r="H95" i="10"/>
  <c r="H99" i="10"/>
  <c r="H97" i="10"/>
  <c r="N94" i="1"/>
  <c r="I225" i="8"/>
  <c r="I311" i="8"/>
  <c r="I309" i="8"/>
  <c r="L192" i="8"/>
  <c r="N192" i="8"/>
  <c r="P192" i="8"/>
  <c r="R192" i="8"/>
  <c r="T192" i="8"/>
  <c r="V192" i="8"/>
  <c r="X192" i="8"/>
  <c r="Z192" i="8"/>
  <c r="AB192" i="8"/>
  <c r="AD192" i="8"/>
  <c r="AF192" i="8"/>
  <c r="L187" i="8"/>
  <c r="N187" i="8"/>
  <c r="P187" i="8"/>
  <c r="R187" i="8"/>
  <c r="T187" i="8"/>
  <c r="V187" i="8"/>
  <c r="X187" i="8"/>
  <c r="Z187" i="8"/>
  <c r="AB187" i="8"/>
  <c r="AD187" i="8"/>
  <c r="AF187" i="8"/>
  <c r="I117" i="15"/>
  <c r="I405" i="8" s="1"/>
  <c r="I105" i="15"/>
  <c r="I403" i="8" s="1"/>
  <c r="I97" i="15"/>
  <c r="I401" i="8" s="1"/>
  <c r="I82" i="15"/>
  <c r="I394" i="8" s="1"/>
  <c r="I74" i="15"/>
  <c r="I391" i="8" s="1"/>
  <c r="I73" i="15"/>
  <c r="I390" i="8" s="1"/>
  <c r="I69" i="15"/>
  <c r="I386" i="8" s="1"/>
  <c r="I66" i="15"/>
  <c r="I383" i="8" s="1"/>
  <c r="I59" i="15"/>
  <c r="I379" i="8" s="1"/>
  <c r="I58" i="15"/>
  <c r="I378" i="8" s="1"/>
  <c r="I55" i="15"/>
  <c r="I375" i="8" s="1"/>
  <c r="I54" i="15"/>
  <c r="A372" i="8" s="1"/>
  <c r="I51" i="15"/>
  <c r="I370" i="8" s="1"/>
  <c r="I42" i="15"/>
  <c r="I41" i="15"/>
  <c r="B38" i="15"/>
  <c r="A38" i="15"/>
  <c r="I30" i="15"/>
  <c r="H27" i="15"/>
  <c r="I18" i="15"/>
  <c r="I17" i="15"/>
  <c r="I16" i="15"/>
  <c r="I10" i="15"/>
  <c r="I8" i="15"/>
  <c r="I22" i="15"/>
  <c r="I50" i="15"/>
  <c r="I369" i="8" s="1"/>
  <c r="I65" i="15"/>
  <c r="I89" i="15"/>
  <c r="I397" i="8" s="1"/>
  <c r="I96" i="15"/>
  <c r="I400" i="8" s="1"/>
  <c r="I38" i="15"/>
  <c r="AI73" i="10"/>
  <c r="AI55" i="10"/>
  <c r="Q65" i="11"/>
  <c r="Q67" i="11"/>
  <c r="Q69" i="11"/>
  <c r="Q71" i="11"/>
  <c r="Q73" i="11"/>
  <c r="Q75" i="11"/>
  <c r="Q77" i="11"/>
  <c r="Q79" i="11"/>
  <c r="Q80" i="11"/>
  <c r="Q20" i="11"/>
  <c r="Q22" i="11"/>
  <c r="Q24" i="11"/>
  <c r="Q26" i="11"/>
  <c r="Q28" i="11"/>
  <c r="Q30" i="11"/>
  <c r="Q32" i="11"/>
  <c r="Q34" i="11"/>
  <c r="Q35" i="11"/>
  <c r="P19" i="7"/>
  <c r="P20" i="7"/>
  <c r="P21" i="7"/>
  <c r="P22" i="7"/>
  <c r="P23" i="7"/>
  <c r="P24" i="7"/>
  <c r="P25" i="7"/>
  <c r="P26" i="7"/>
  <c r="P27" i="7"/>
  <c r="P28" i="7"/>
  <c r="P29" i="7"/>
  <c r="P31" i="7"/>
  <c r="P32" i="7"/>
  <c r="P33" i="7"/>
  <c r="P34" i="7"/>
  <c r="P35" i="7"/>
  <c r="P36" i="7"/>
  <c r="P37" i="7"/>
  <c r="P39" i="7"/>
  <c r="P40" i="7"/>
  <c r="P41" i="7"/>
  <c r="P42" i="7"/>
  <c r="P47" i="7"/>
  <c r="P48" i="7"/>
  <c r="P49" i="7"/>
  <c r="P50" i="7"/>
  <c r="P51" i="7"/>
  <c r="P52" i="7"/>
  <c r="P53" i="7"/>
  <c r="P60" i="7"/>
  <c r="P61" i="7"/>
  <c r="P62" i="7"/>
  <c r="P63" i="7"/>
  <c r="P64" i="7"/>
  <c r="P65" i="7"/>
  <c r="P66" i="7"/>
  <c r="P68" i="7"/>
  <c r="P69" i="7"/>
  <c r="AI410" i="8"/>
  <c r="AI409" i="8"/>
  <c r="AI408" i="8"/>
  <c r="AI406" i="8"/>
  <c r="AI371" i="8"/>
  <c r="L63" i="11"/>
  <c r="L152" i="11" s="1"/>
  <c r="AI25" i="8"/>
  <c r="AI26" i="8"/>
  <c r="AI32" i="8"/>
  <c r="AI33" i="8"/>
  <c r="AI42" i="8"/>
  <c r="AI44" i="8"/>
  <c r="AI45" i="8"/>
  <c r="AI49" i="8"/>
  <c r="AI51" i="8"/>
  <c r="AI52" i="8"/>
  <c r="AI55" i="8"/>
  <c r="AI57" i="8"/>
  <c r="AI58" i="8"/>
  <c r="AI59" i="8"/>
  <c r="AI60" i="8"/>
  <c r="AI65" i="8"/>
  <c r="AI77" i="8"/>
  <c r="AI78" i="8"/>
  <c r="AI92" i="8"/>
  <c r="AI94" i="8"/>
  <c r="AI95" i="8"/>
  <c r="AI96" i="8"/>
  <c r="AI97" i="8"/>
  <c r="AI105" i="8"/>
  <c r="AI106" i="8"/>
  <c r="AI107" i="8"/>
  <c r="AI108" i="8"/>
  <c r="AI114" i="8"/>
  <c r="AI115" i="8"/>
  <c r="AI116" i="8"/>
  <c r="AI117" i="8"/>
  <c r="AI124" i="8"/>
  <c r="AI125" i="8"/>
  <c r="AI126" i="8"/>
  <c r="AI127" i="8"/>
  <c r="AI139" i="8"/>
  <c r="AI140" i="8"/>
  <c r="AI144" i="8"/>
  <c r="AI146" i="8"/>
  <c r="AI148" i="8"/>
  <c r="AI149" i="8"/>
  <c r="AI150" i="8"/>
  <c r="AI151" i="8"/>
  <c r="AI170" i="8"/>
  <c r="AI171" i="8"/>
  <c r="AI172" i="8"/>
  <c r="AI203" i="8"/>
  <c r="AI204" i="8"/>
  <c r="AI212" i="8"/>
  <c r="AI214" i="8"/>
  <c r="AI216" i="8"/>
  <c r="AI218" i="8"/>
  <c r="AI219" i="8"/>
  <c r="AI221" i="8"/>
  <c r="AI222" i="8"/>
  <c r="AI228" i="8"/>
  <c r="AI229" i="8"/>
  <c r="AI231" i="8"/>
  <c r="AI232" i="8"/>
  <c r="AI233" i="8"/>
  <c r="AI234" i="8"/>
  <c r="AI235" i="8"/>
  <c r="AI236" i="8"/>
  <c r="AI259" i="8"/>
  <c r="AI260" i="8"/>
  <c r="AI261" i="8"/>
  <c r="AI272" i="8"/>
  <c r="AI294" i="8"/>
  <c r="AI295" i="8"/>
  <c r="AI301" i="8"/>
  <c r="AI303" i="8"/>
  <c r="AI304" i="8"/>
  <c r="AI313" i="8"/>
  <c r="P63" i="11"/>
  <c r="P152" i="11" s="1"/>
  <c r="J63" i="11"/>
  <c r="J152" i="11" s="1"/>
  <c r="H63" i="11"/>
  <c r="H152" i="11" s="1"/>
  <c r="AI337" i="8"/>
  <c r="AG360" i="8"/>
  <c r="U324" i="8"/>
  <c r="K360" i="8"/>
  <c r="M360" i="8"/>
  <c r="O360" i="8"/>
  <c r="Q360" i="8"/>
  <c r="S360" i="8"/>
  <c r="G364" i="8"/>
  <c r="G365" i="8"/>
  <c r="G367" i="8"/>
  <c r="G368" i="8"/>
  <c r="G369" i="8"/>
  <c r="G372" i="8"/>
  <c r="G373" i="8"/>
  <c r="G374" i="8"/>
  <c r="G375" i="8"/>
  <c r="G376" i="8"/>
  <c r="G379" i="8"/>
  <c r="G380" i="8"/>
  <c r="G381" i="8"/>
  <c r="G382" i="8"/>
  <c r="G383" i="8"/>
  <c r="G386" i="8"/>
  <c r="G387" i="8"/>
  <c r="G388" i="8"/>
  <c r="G389" i="8"/>
  <c r="G390" i="8"/>
  <c r="G392" i="8"/>
  <c r="G393" i="8"/>
  <c r="G394" i="8"/>
  <c r="G395" i="8"/>
  <c r="G397" i="8"/>
  <c r="G398" i="8"/>
  <c r="G399" i="8"/>
  <c r="G400" i="8"/>
  <c r="G401" i="8"/>
  <c r="G402" i="8"/>
  <c r="G403" i="8"/>
  <c r="G404" i="8"/>
  <c r="G405" i="8"/>
  <c r="B205" i="8"/>
  <c r="B209" i="8"/>
  <c r="B206" i="8"/>
  <c r="I115" i="2"/>
  <c r="I99" i="2"/>
  <c r="E77" i="2"/>
  <c r="G77" i="2" s="1"/>
  <c r="I77" i="2" s="1"/>
  <c r="N60" i="11"/>
  <c r="N15" i="11"/>
  <c r="H44" i="7"/>
  <c r="J44" i="7"/>
  <c r="L44" i="7"/>
  <c r="N44" i="7"/>
  <c r="E7" i="7"/>
  <c r="G7" i="7"/>
  <c r="I7" i="7" s="1"/>
  <c r="K7" i="7" s="1"/>
  <c r="M7" i="7" s="1"/>
  <c r="O7" i="7" s="1"/>
  <c r="Q7" i="7" s="1"/>
  <c r="AJ337" i="8"/>
  <c r="Q12" i="8"/>
  <c r="S12" i="8"/>
  <c r="U12" i="8" s="1"/>
  <c r="W12" i="8" s="1"/>
  <c r="Y12" i="8" s="1"/>
  <c r="AA12" i="8" s="1"/>
  <c r="AC12" i="8" s="1"/>
  <c r="AE12" i="8" s="1"/>
  <c r="AG12" i="8" s="1"/>
  <c r="Z46" i="10"/>
  <c r="AB46" i="10"/>
  <c r="AD46" i="10"/>
  <c r="AF46" i="10" s="1"/>
  <c r="H57" i="7"/>
  <c r="N57" i="7"/>
  <c r="H94" i="1"/>
  <c r="A5" i="11"/>
  <c r="A50" i="11"/>
  <c r="A3" i="10"/>
  <c r="D72" i="11"/>
  <c r="D161" i="11" s="1"/>
  <c r="X70" i="10"/>
  <c r="F94" i="1"/>
  <c r="H38" i="15"/>
  <c r="B207" i="8"/>
  <c r="N124" i="2"/>
  <c r="K94" i="1"/>
  <c r="Y364" i="8"/>
  <c r="W364" i="8"/>
  <c r="L122" i="15"/>
  <c r="E106" i="2"/>
  <c r="I104" i="2" s="1"/>
  <c r="C117" i="6"/>
  <c r="E113" i="6" s="1"/>
  <c r="AC358" i="8" s="1"/>
  <c r="N18" i="11"/>
  <c r="N111" i="11" s="1"/>
  <c r="J18" i="11"/>
  <c r="J111" i="11" s="1"/>
  <c r="P22" i="10"/>
  <c r="R22" i="10" s="1"/>
  <c r="L18" i="11"/>
  <c r="L111" i="11" s="1"/>
  <c r="P26" i="10"/>
  <c r="R26" i="10" s="1"/>
  <c r="P18" i="11"/>
  <c r="P111" i="11" s="1"/>
  <c r="H18" i="11"/>
  <c r="H111" i="11" s="1"/>
  <c r="P18" i="10"/>
  <c r="R18" i="10" s="1"/>
  <c r="F18" i="11"/>
  <c r="F111" i="11" s="1"/>
  <c r="P16" i="10"/>
  <c r="R16" i="10" s="1"/>
  <c r="AC318" i="8" l="1"/>
  <c r="AA299" i="8"/>
  <c r="AA364" i="8"/>
  <c r="AA244" i="8"/>
  <c r="AA383" i="8"/>
  <c r="O387" i="8"/>
  <c r="S73" i="8"/>
  <c r="Y30" i="8"/>
  <c r="Y377" i="8"/>
  <c r="S395" i="8"/>
  <c r="S111" i="8"/>
  <c r="AA37" i="8"/>
  <c r="S102" i="8"/>
  <c r="AC102" i="8"/>
  <c r="M31" i="7" s="1"/>
  <c r="AA239" i="8"/>
  <c r="Q393" i="8"/>
  <c r="Y64" i="8"/>
  <c r="Y36" i="8"/>
  <c r="L114" i="10"/>
  <c r="P37" i="10"/>
  <c r="AC22" i="8"/>
  <c r="Y22" i="8"/>
  <c r="M393" i="8"/>
  <c r="K389" i="8"/>
  <c r="AA118" i="8"/>
  <c r="K36" i="7" s="1"/>
  <c r="S118" i="8"/>
  <c r="C135" i="6"/>
  <c r="E131" i="6" s="1"/>
  <c r="AC359" i="8" s="1"/>
  <c r="AC225" i="8" s="1"/>
  <c r="Q68" i="1"/>
  <c r="E36" i="3"/>
  <c r="I263" i="8"/>
  <c r="I169" i="15"/>
  <c r="A169" i="15"/>
  <c r="B169" i="15"/>
  <c r="AC30" i="8"/>
  <c r="W30" i="8"/>
  <c r="U401" i="8"/>
  <c r="AA30" i="8"/>
  <c r="I100" i="8"/>
  <c r="U100" i="8" s="1"/>
  <c r="M378" i="8"/>
  <c r="O389" i="8"/>
  <c r="M379" i="8"/>
  <c r="Y388" i="8"/>
  <c r="H19" i="1"/>
  <c r="D18" i="16"/>
  <c r="AB19" i="1"/>
  <c r="AA401" i="8"/>
  <c r="K225" i="8"/>
  <c r="O225" i="8"/>
  <c r="G22" i="2"/>
  <c r="AB21" i="1"/>
  <c r="Q46" i="1"/>
  <c r="Q70" i="1"/>
  <c r="T65" i="2"/>
  <c r="K12" i="7"/>
  <c r="K82" i="7" s="1"/>
  <c r="D20" i="16"/>
  <c r="Q88" i="1"/>
  <c r="AC36" i="8"/>
  <c r="Q87" i="1"/>
  <c r="O99" i="1"/>
  <c r="Y370" i="8"/>
  <c r="G19" i="2"/>
  <c r="AA70" i="1" s="1"/>
  <c r="O94" i="1"/>
  <c r="O95" i="1" s="1"/>
  <c r="E17" i="2"/>
  <c r="Q72" i="1"/>
  <c r="AB23" i="1"/>
  <c r="O12" i="7"/>
  <c r="O82" i="7" s="1"/>
  <c r="Z62" i="2"/>
  <c r="AB62" i="2" s="1"/>
  <c r="I12" i="7"/>
  <c r="I82" i="7" s="1"/>
  <c r="I103" i="2"/>
  <c r="AC332" i="8" s="1"/>
  <c r="AC376" i="8" s="1"/>
  <c r="I102" i="2"/>
  <c r="W36" i="8"/>
  <c r="AA110" i="8"/>
  <c r="K34" i="7" s="1"/>
  <c r="AC86" i="8"/>
  <c r="M225" i="8"/>
  <c r="U393" i="8"/>
  <c r="U389" i="8"/>
  <c r="S393" i="8"/>
  <c r="M389" i="8"/>
  <c r="Q389" i="8"/>
  <c r="AA36" i="8"/>
  <c r="AA86" i="8"/>
  <c r="S389" i="8"/>
  <c r="O393" i="8"/>
  <c r="T63" i="2"/>
  <c r="Y37" i="8"/>
  <c r="H160" i="15"/>
  <c r="H150" i="15"/>
  <c r="I166" i="8" s="1"/>
  <c r="Q166" i="8" s="1"/>
  <c r="H148" i="15"/>
  <c r="I164" i="8" s="1"/>
  <c r="M164" i="8" s="1"/>
  <c r="K140" i="15"/>
  <c r="Y383" i="8"/>
  <c r="Q387" i="8"/>
  <c r="B47" i="15"/>
  <c r="A43" i="15"/>
  <c r="A47" i="15"/>
  <c r="AC307" i="8"/>
  <c r="Y307" i="8"/>
  <c r="W307" i="8"/>
  <c r="AA307" i="8"/>
  <c r="P103" i="10"/>
  <c r="R103" i="10" s="1"/>
  <c r="Q73" i="1"/>
  <c r="Z65" i="2"/>
  <c r="Z64" i="2"/>
  <c r="T64" i="2"/>
  <c r="M12" i="7"/>
  <c r="M82" i="7" s="1"/>
  <c r="K397" i="8"/>
  <c r="O397" i="8"/>
  <c r="S397" i="8"/>
  <c r="U397" i="8"/>
  <c r="M397" i="8"/>
  <c r="Q397" i="8"/>
  <c r="I40" i="15"/>
  <c r="I366" i="8" s="1"/>
  <c r="W366" i="8" s="1"/>
  <c r="I12" i="15"/>
  <c r="O401" i="8"/>
  <c r="I46" i="15"/>
  <c r="I368" i="8" s="1"/>
  <c r="AA368" i="8" s="1"/>
  <c r="H144" i="15"/>
  <c r="H162" i="15"/>
  <c r="H166" i="15"/>
  <c r="H164" i="15"/>
  <c r="I177" i="8" s="1"/>
  <c r="H161" i="15"/>
  <c r="I175" i="8" s="1"/>
  <c r="H159" i="15"/>
  <c r="H157" i="15"/>
  <c r="H155" i="15"/>
  <c r="H149" i="15"/>
  <c r="I165" i="8" s="1"/>
  <c r="M165" i="8" s="1"/>
  <c r="H147" i="15"/>
  <c r="I163" i="8" s="1"/>
  <c r="Q163" i="8" s="1"/>
  <c r="H143" i="15"/>
  <c r="H141" i="15"/>
  <c r="I157" i="8" s="1"/>
  <c r="W157" i="8" s="1"/>
  <c r="H139" i="15"/>
  <c r="W54" i="8"/>
  <c r="AC54" i="8"/>
  <c r="W27" i="8"/>
  <c r="Y27" i="8"/>
  <c r="Y31" i="8" s="1"/>
  <c r="AC27" i="8"/>
  <c r="AA27" i="8"/>
  <c r="Y40" i="8"/>
  <c r="AA40" i="8"/>
  <c r="W40" i="8"/>
  <c r="AC40" i="8"/>
  <c r="AC48" i="8"/>
  <c r="AA48" i="8"/>
  <c r="Y84" i="8"/>
  <c r="W84" i="8"/>
  <c r="AA84" i="8"/>
  <c r="U98" i="8"/>
  <c r="K98" i="8"/>
  <c r="AA22" i="8"/>
  <c r="W22" i="8"/>
  <c r="H62" i="15"/>
  <c r="A19" i="15"/>
  <c r="A100" i="15"/>
  <c r="A62" i="15"/>
  <c r="A114" i="15"/>
  <c r="A119" i="15" s="1"/>
  <c r="AA375" i="8"/>
  <c r="I76" i="15"/>
  <c r="I19" i="15"/>
  <c r="B19" i="15"/>
  <c r="A86" i="15"/>
  <c r="H45" i="15"/>
  <c r="W365" i="8"/>
  <c r="AC365" i="8"/>
  <c r="U399" i="8"/>
  <c r="K399" i="8"/>
  <c r="S85" i="8"/>
  <c r="W85" i="8"/>
  <c r="G24" i="7" s="1"/>
  <c r="O85" i="8"/>
  <c r="I99" i="8"/>
  <c r="M99" i="8" s="1"/>
  <c r="H86" i="15"/>
  <c r="I121" i="8"/>
  <c r="U121" i="8" s="1"/>
  <c r="H100" i="15"/>
  <c r="I130" i="8"/>
  <c r="I138" i="8" s="1"/>
  <c r="H114" i="15"/>
  <c r="H119" i="15" s="1"/>
  <c r="Q394" i="8"/>
  <c r="O394" i="8"/>
  <c r="U394" i="8"/>
  <c r="M394" i="8"/>
  <c r="K394" i="8"/>
  <c r="U103" i="8"/>
  <c r="K103" i="8"/>
  <c r="M103" i="8"/>
  <c r="Y20" i="8"/>
  <c r="AA20" i="8"/>
  <c r="W20" i="8"/>
  <c r="I109" i="8"/>
  <c r="K109" i="8" s="1"/>
  <c r="H93" i="15"/>
  <c r="W23" i="8"/>
  <c r="K112" i="8"/>
  <c r="U112" i="8"/>
  <c r="AA38" i="8"/>
  <c r="Y38" i="8"/>
  <c r="Q390" i="8"/>
  <c r="Y386" i="8"/>
  <c r="S378" i="8"/>
  <c r="B12" i="15"/>
  <c r="K396" i="8"/>
  <c r="Q396" i="8"/>
  <c r="O396" i="8"/>
  <c r="U396" i="8"/>
  <c r="M396" i="8"/>
  <c r="S396" i="8"/>
  <c r="AA71" i="8"/>
  <c r="I86" i="15"/>
  <c r="AA367" i="8"/>
  <c r="AC367" i="8"/>
  <c r="W367" i="8"/>
  <c r="Y367" i="8"/>
  <c r="I33" i="15"/>
  <c r="Y366" i="8"/>
  <c r="I207" i="8"/>
  <c r="D18" i="11"/>
  <c r="D111" i="11" s="1"/>
  <c r="Q111" i="11" s="1"/>
  <c r="AC310" i="8"/>
  <c r="M69" i="7" s="1"/>
  <c r="Q310" i="8"/>
  <c r="W370" i="8"/>
  <c r="AC370" i="8"/>
  <c r="AC20" i="8"/>
  <c r="AA377" i="8"/>
  <c r="Y54" i="8"/>
  <c r="M85" i="8"/>
  <c r="Q73" i="8"/>
  <c r="Y48" i="8"/>
  <c r="K379" i="8"/>
  <c r="AA54" i="8"/>
  <c r="M111" i="8"/>
  <c r="U85" i="8"/>
  <c r="K85" i="8"/>
  <c r="W48" i="8"/>
  <c r="AA370" i="8"/>
  <c r="AI360" i="8"/>
  <c r="AJ360" i="8" s="1"/>
  <c r="AA152" i="8"/>
  <c r="P57" i="7"/>
  <c r="P44" i="7"/>
  <c r="Q223" i="8"/>
  <c r="K223" i="8"/>
  <c r="U223" i="8"/>
  <c r="W305" i="8"/>
  <c r="O305" i="8"/>
  <c r="Y305" i="8"/>
  <c r="Q305" i="8"/>
  <c r="AC305" i="8"/>
  <c r="AA305" i="8"/>
  <c r="S305" i="8"/>
  <c r="U305" i="8"/>
  <c r="AC46" i="8"/>
  <c r="Y46" i="8"/>
  <c r="AA46" i="8"/>
  <c r="K387" i="8"/>
  <c r="AA387" i="8"/>
  <c r="Y23" i="8"/>
  <c r="M387" i="8"/>
  <c r="M395" i="8"/>
  <c r="AC110" i="8"/>
  <c r="M34" i="7" s="1"/>
  <c r="W110" i="8"/>
  <c r="G34" i="7" s="1"/>
  <c r="M110" i="8"/>
  <c r="AA64" i="8"/>
  <c r="W71" i="8"/>
  <c r="O378" i="8"/>
  <c r="Q401" i="8"/>
  <c r="S225" i="8"/>
  <c r="Q225" i="8"/>
  <c r="Q378" i="8"/>
  <c r="W387" i="8"/>
  <c r="W377" i="8"/>
  <c r="AC377" i="8"/>
  <c r="AA388" i="8"/>
  <c r="Y375" i="8"/>
  <c r="S401" i="8"/>
  <c r="S379" i="8"/>
  <c r="O379" i="8"/>
  <c r="Q395" i="8"/>
  <c r="K401" i="8"/>
  <c r="Y110" i="8"/>
  <c r="I34" i="7" s="1"/>
  <c r="K110" i="8"/>
  <c r="AC64" i="8"/>
  <c r="I143" i="8"/>
  <c r="W375" i="8"/>
  <c r="AC401" i="8"/>
  <c r="O395" i="8"/>
  <c r="D31" i="11"/>
  <c r="D124" i="11" s="1"/>
  <c r="U379" i="8"/>
  <c r="U225" i="8"/>
  <c r="W383" i="8"/>
  <c r="AC383" i="8"/>
  <c r="AC375" i="8"/>
  <c r="AC23" i="8"/>
  <c r="AA23" i="8"/>
  <c r="S387" i="8"/>
  <c r="U387" i="8"/>
  <c r="M401" i="8"/>
  <c r="U110" i="8"/>
  <c r="S110" i="8"/>
  <c r="Q110" i="8"/>
  <c r="P95" i="10"/>
  <c r="R95" i="10" s="1"/>
  <c r="E110" i="6"/>
  <c r="E112" i="6"/>
  <c r="AA358" i="8" s="1"/>
  <c r="AA102" i="8" s="1"/>
  <c r="K31" i="7" s="1"/>
  <c r="E111" i="6"/>
  <c r="Y358" i="8" s="1"/>
  <c r="Y102" i="8" s="1"/>
  <c r="I31" i="7" s="1"/>
  <c r="E115" i="6"/>
  <c r="AG358" i="8" s="1"/>
  <c r="E114" i="6"/>
  <c r="AE358" i="8" s="1"/>
  <c r="L97" i="10"/>
  <c r="L105" i="10" s="1"/>
  <c r="P20" i="10"/>
  <c r="P99" i="10"/>
  <c r="R99" i="10" s="1"/>
  <c r="C18" i="2"/>
  <c r="D19" i="16"/>
  <c r="Q69" i="1"/>
  <c r="H20" i="1"/>
  <c r="AB20" i="1"/>
  <c r="Q45" i="1"/>
  <c r="F63" i="11"/>
  <c r="H93" i="10"/>
  <c r="H28" i="10"/>
  <c r="J16" i="10" s="1"/>
  <c r="P24" i="10"/>
  <c r="R24" i="10" s="1"/>
  <c r="H101" i="10"/>
  <c r="N63" i="11"/>
  <c r="N152" i="11" s="1"/>
  <c r="L28" i="10"/>
  <c r="N16" i="10" s="1"/>
  <c r="Q86" i="1"/>
  <c r="M28" i="1"/>
  <c r="Q44" i="1"/>
  <c r="R22" i="1"/>
  <c r="R26" i="1" s="1"/>
  <c r="V20" i="1" s="1"/>
  <c r="M89" i="1"/>
  <c r="M99" i="1" s="1"/>
  <c r="E22" i="3"/>
  <c r="K125" i="2"/>
  <c r="E37" i="3"/>
  <c r="T62" i="2"/>
  <c r="D26" i="1"/>
  <c r="F19" i="1" s="1"/>
  <c r="N61" i="2"/>
  <c r="P61" i="2" s="1"/>
  <c r="R61" i="2" s="1"/>
  <c r="T61" i="2"/>
  <c r="G12" i="7"/>
  <c r="C17" i="2"/>
  <c r="E41" i="2"/>
  <c r="I41" i="2" s="1"/>
  <c r="M400" i="8"/>
  <c r="S400" i="8"/>
  <c r="AC400" i="8"/>
  <c r="U400" i="8"/>
  <c r="K400" i="8"/>
  <c r="O400" i="8"/>
  <c r="AA400" i="8"/>
  <c r="Q400" i="8"/>
  <c r="AA386" i="8"/>
  <c r="W386" i="8"/>
  <c r="K376" i="8"/>
  <c r="AA376" i="8"/>
  <c r="M376" i="8"/>
  <c r="U376" i="8"/>
  <c r="AC35" i="8"/>
  <c r="Q376" i="8"/>
  <c r="Q399" i="8"/>
  <c r="M399" i="8"/>
  <c r="S399" i="8"/>
  <c r="O399" i="8"/>
  <c r="I312" i="8"/>
  <c r="I211" i="8"/>
  <c r="M88" i="8"/>
  <c r="U88" i="8"/>
  <c r="O88" i="8"/>
  <c r="S88" i="8"/>
  <c r="K88" i="8"/>
  <c r="Q88" i="8"/>
  <c r="K390" i="8"/>
  <c r="O390" i="8"/>
  <c r="I62" i="15"/>
  <c r="K87" i="8"/>
  <c r="S87" i="8"/>
  <c r="M87" i="8"/>
  <c r="Q87" i="8"/>
  <c r="W376" i="8"/>
  <c r="AC386" i="8"/>
  <c r="S390" i="8"/>
  <c r="S376" i="8"/>
  <c r="O376" i="8"/>
  <c r="A133" i="15"/>
  <c r="K378" i="8"/>
  <c r="U378" i="8"/>
  <c r="M223" i="8"/>
  <c r="S223" i="8"/>
  <c r="O223" i="8"/>
  <c r="I227" i="8"/>
  <c r="AA69" i="8"/>
  <c r="W69" i="8"/>
  <c r="AC69" i="8"/>
  <c r="Y69" i="8"/>
  <c r="AC62" i="8"/>
  <c r="AA62" i="8"/>
  <c r="W62" i="8"/>
  <c r="Y62" i="8"/>
  <c r="I29" i="8"/>
  <c r="I31" i="8" s="1"/>
  <c r="H19" i="15"/>
  <c r="H7" i="15"/>
  <c r="A12" i="15"/>
  <c r="AC39" i="8"/>
  <c r="W39" i="8"/>
  <c r="Y39" i="8"/>
  <c r="AA39" i="8"/>
  <c r="Y365" i="8"/>
  <c r="AA365" i="8"/>
  <c r="W35" i="8"/>
  <c r="AA35" i="8"/>
  <c r="Y35" i="8"/>
  <c r="U390" i="8"/>
  <c r="M390" i="8"/>
  <c r="I382" i="8"/>
  <c r="H133" i="15"/>
  <c r="AC388" i="8"/>
  <c r="W388" i="8"/>
  <c r="K395" i="8"/>
  <c r="U395" i="8"/>
  <c r="I385" i="8"/>
  <c r="I384" i="8"/>
  <c r="W384" i="8" s="1"/>
  <c r="B114" i="15"/>
  <c r="B119" i="15" s="1"/>
  <c r="I104" i="15"/>
  <c r="O87" i="8"/>
  <c r="I47" i="8"/>
  <c r="I50" i="8" s="1"/>
  <c r="H43" i="15"/>
  <c r="M72" i="8"/>
  <c r="S72" i="8"/>
  <c r="K72" i="8"/>
  <c r="O72" i="8"/>
  <c r="U72" i="8"/>
  <c r="U70" i="8"/>
  <c r="W70" i="8"/>
  <c r="G21" i="7" s="1"/>
  <c r="S70" i="8"/>
  <c r="Q70" i="8"/>
  <c r="M70" i="8"/>
  <c r="AA70" i="8"/>
  <c r="K21" i="7" s="1"/>
  <c r="O70" i="8"/>
  <c r="S122" i="8"/>
  <c r="K122" i="8"/>
  <c r="AC122" i="8"/>
  <c r="M40" i="7" s="1"/>
  <c r="AA122" i="8"/>
  <c r="K40" i="7" s="1"/>
  <c r="U122" i="8"/>
  <c r="K393" i="8"/>
  <c r="B33" i="15"/>
  <c r="B100" i="15"/>
  <c r="K310" i="8"/>
  <c r="AA310" i="8"/>
  <c r="K69" i="7" s="1"/>
  <c r="S310" i="8"/>
  <c r="O310" i="8"/>
  <c r="M310" i="8"/>
  <c r="U310" i="8"/>
  <c r="M98" i="8"/>
  <c r="O98" i="8"/>
  <c r="Q98" i="8"/>
  <c r="S98" i="8"/>
  <c r="A123" i="8"/>
  <c r="W46" i="8"/>
  <c r="S394" i="8"/>
  <c r="Q379" i="8"/>
  <c r="I98" i="15"/>
  <c r="I100" i="15" s="1"/>
  <c r="B76" i="15"/>
  <c r="B86" i="15"/>
  <c r="I90" i="15"/>
  <c r="B93" i="15"/>
  <c r="I81" i="8"/>
  <c r="I82" i="8"/>
  <c r="A81" i="8"/>
  <c r="U111" i="8"/>
  <c r="K111" i="8"/>
  <c r="O111" i="8"/>
  <c r="Q111" i="8"/>
  <c r="K118" i="8"/>
  <c r="M118" i="8"/>
  <c r="O118" i="8"/>
  <c r="U118" i="8"/>
  <c r="AC118" i="8"/>
  <c r="M36" i="7" s="1"/>
  <c r="B62" i="15"/>
  <c r="K73" i="8"/>
  <c r="O73" i="8"/>
  <c r="U73" i="8"/>
  <c r="M73" i="8"/>
  <c r="H66" i="15"/>
  <c r="A76" i="15"/>
  <c r="U102" i="8"/>
  <c r="O102" i="8"/>
  <c r="H22" i="15"/>
  <c r="A33" i="15"/>
  <c r="AC37" i="8"/>
  <c r="W37" i="8"/>
  <c r="AC38" i="8"/>
  <c r="W38" i="8"/>
  <c r="Y71" i="8"/>
  <c r="AC71" i="8"/>
  <c r="W86" i="8"/>
  <c r="Y86" i="8"/>
  <c r="AC84" i="8"/>
  <c r="O103" i="8"/>
  <c r="Q103" i="8"/>
  <c r="S103" i="8"/>
  <c r="M112" i="8"/>
  <c r="O112" i="8"/>
  <c r="Q112" i="8"/>
  <c r="S112" i="8"/>
  <c r="W64" i="8"/>
  <c r="Q85" i="8"/>
  <c r="AA85" i="8"/>
  <c r="K24" i="7" s="1"/>
  <c r="I105" i="2"/>
  <c r="AG332" i="8" s="1"/>
  <c r="AE332" i="8"/>
  <c r="H217" i="15"/>
  <c r="I300" i="8"/>
  <c r="H145" i="15"/>
  <c r="I160" i="8" s="1"/>
  <c r="K160" i="8" s="1"/>
  <c r="H179" i="15"/>
  <c r="I268" i="8"/>
  <c r="H193" i="15"/>
  <c r="H195" i="15" s="1"/>
  <c r="A152" i="15"/>
  <c r="H205" i="15"/>
  <c r="H207" i="15" s="1"/>
  <c r="H163" i="15"/>
  <c r="I176" i="8" s="1"/>
  <c r="H158" i="15"/>
  <c r="S191" i="8"/>
  <c r="I279" i="8"/>
  <c r="I269" i="8"/>
  <c r="I247" i="8"/>
  <c r="K247" i="8" s="1"/>
  <c r="I193" i="15"/>
  <c r="I195" i="15" s="1"/>
  <c r="U191" i="8"/>
  <c r="I179" i="15"/>
  <c r="I223" i="15" s="1"/>
  <c r="U163" i="8"/>
  <c r="H140" i="15"/>
  <c r="W245" i="8"/>
  <c r="Y245" i="8"/>
  <c r="AA245" i="8"/>
  <c r="AC245" i="8"/>
  <c r="I217" i="15"/>
  <c r="S285" i="8"/>
  <c r="I278" i="8"/>
  <c r="I246" i="8"/>
  <c r="W239" i="8"/>
  <c r="Y239" i="8"/>
  <c r="I212" i="15"/>
  <c r="I185" i="8"/>
  <c r="AC239" i="8"/>
  <c r="I205" i="15"/>
  <c r="I207" i="15" s="1"/>
  <c r="I190" i="8"/>
  <c r="I192" i="8" s="1"/>
  <c r="I184" i="8"/>
  <c r="H167" i="15"/>
  <c r="H146" i="15"/>
  <c r="I161" i="8" s="1"/>
  <c r="O161" i="8" s="1"/>
  <c r="H142" i="15"/>
  <c r="I158" i="8" s="1"/>
  <c r="W158" i="8" s="1"/>
  <c r="I284" i="8"/>
  <c r="I286" i="8" s="1"/>
  <c r="I264" i="8"/>
  <c r="W152" i="8"/>
  <c r="Y152" i="8"/>
  <c r="U249" i="8"/>
  <c r="K249" i="8"/>
  <c r="S249" i="8"/>
  <c r="O249" i="8"/>
  <c r="H165" i="15"/>
  <c r="AC237" i="8"/>
  <c r="AA237" i="8"/>
  <c r="Y237" i="8"/>
  <c r="W237" i="8"/>
  <c r="Q249" i="8"/>
  <c r="B152" i="15"/>
  <c r="AC152" i="8"/>
  <c r="S251" i="8"/>
  <c r="AA251" i="8"/>
  <c r="K65" i="7" s="1"/>
  <c r="W251" i="8"/>
  <c r="G65" i="7" s="1"/>
  <c r="Q251" i="8"/>
  <c r="O251" i="8"/>
  <c r="M251" i="8"/>
  <c r="K251" i="8"/>
  <c r="AC243" i="8"/>
  <c r="AA243" i="8"/>
  <c r="Y243" i="8"/>
  <c r="W243" i="8"/>
  <c r="I152" i="15"/>
  <c r="J152" i="15" s="1"/>
  <c r="U251" i="8"/>
  <c r="M249" i="8"/>
  <c r="K191" i="8"/>
  <c r="M191" i="8"/>
  <c r="O191" i="8"/>
  <c r="Q191" i="8"/>
  <c r="H156" i="15"/>
  <c r="H138" i="15"/>
  <c r="I153" i="8" s="1"/>
  <c r="M285" i="8"/>
  <c r="U285" i="8"/>
  <c r="K285" i="8"/>
  <c r="O285" i="8"/>
  <c r="Q285" i="8"/>
  <c r="K250" i="8"/>
  <c r="Q250" i="8"/>
  <c r="O250" i="8"/>
  <c r="M250" i="8"/>
  <c r="U250" i="8"/>
  <c r="AC238" i="8"/>
  <c r="AA238" i="8"/>
  <c r="Y238" i="8"/>
  <c r="W238" i="8"/>
  <c r="AC85" i="8" l="1"/>
  <c r="M24" i="7" s="1"/>
  <c r="N93" i="10"/>
  <c r="AE102" i="8"/>
  <c r="O31" i="7" s="1"/>
  <c r="AE318" i="8"/>
  <c r="AC364" i="8"/>
  <c r="AC244" i="8"/>
  <c r="AC299" i="8"/>
  <c r="O163" i="8"/>
  <c r="S163" i="8"/>
  <c r="K163" i="8"/>
  <c r="I179" i="8"/>
  <c r="M163" i="8"/>
  <c r="V19" i="1"/>
  <c r="K100" i="8"/>
  <c r="M100" i="8"/>
  <c r="M104" i="8" s="1"/>
  <c r="Q160" i="8"/>
  <c r="U160" i="8"/>
  <c r="I159" i="8"/>
  <c r="Q159" i="8" s="1"/>
  <c r="H26" i="1"/>
  <c r="M161" i="8"/>
  <c r="AC31" i="8"/>
  <c r="E133" i="6"/>
  <c r="AG359" i="8" s="1"/>
  <c r="AC384" i="8"/>
  <c r="U166" i="8"/>
  <c r="S247" i="8"/>
  <c r="I47" i="15"/>
  <c r="M166" i="8"/>
  <c r="AE368" i="8"/>
  <c r="W368" i="8"/>
  <c r="E128" i="6"/>
  <c r="W359" i="8" s="1"/>
  <c r="E130" i="6"/>
  <c r="AA359" i="8" s="1"/>
  <c r="AA225" i="8" s="1"/>
  <c r="E132" i="6"/>
  <c r="K358" i="8" s="1"/>
  <c r="E129" i="6"/>
  <c r="Y359" i="8" s="1"/>
  <c r="Y225" i="8" s="1"/>
  <c r="Y50" i="8"/>
  <c r="W31" i="8"/>
  <c r="Y368" i="8"/>
  <c r="K166" i="8"/>
  <c r="S166" i="8"/>
  <c r="AC157" i="8"/>
  <c r="AA31" i="8"/>
  <c r="I173" i="8"/>
  <c r="H169" i="15"/>
  <c r="O166" i="8"/>
  <c r="S100" i="8"/>
  <c r="O100" i="8"/>
  <c r="Q100" i="8"/>
  <c r="S165" i="8"/>
  <c r="K164" i="8"/>
  <c r="M160" i="8"/>
  <c r="AC366" i="8"/>
  <c r="AE366" i="8"/>
  <c r="O160" i="8"/>
  <c r="M247" i="8"/>
  <c r="S160" i="8"/>
  <c r="S121" i="8"/>
  <c r="AA366" i="8"/>
  <c r="O164" i="8"/>
  <c r="I113" i="8"/>
  <c r="Q18" i="11"/>
  <c r="I43" i="15"/>
  <c r="AC368" i="8"/>
  <c r="I145" i="8"/>
  <c r="R86" i="1"/>
  <c r="T86" i="1" s="1"/>
  <c r="M61" i="2"/>
  <c r="R89" i="1"/>
  <c r="T89" i="1" s="1"/>
  <c r="C81" i="2"/>
  <c r="R87" i="1"/>
  <c r="T87" i="1" s="1"/>
  <c r="R88" i="1"/>
  <c r="T88" i="1" s="1"/>
  <c r="R90" i="1"/>
  <c r="T90" i="1" s="1"/>
  <c r="M65" i="2"/>
  <c r="AC387" i="8"/>
  <c r="E21" i="2"/>
  <c r="E24" i="2" s="1"/>
  <c r="G39" i="2"/>
  <c r="G44" i="2" s="1"/>
  <c r="AC251" i="8"/>
  <c r="M65" i="7" s="1"/>
  <c r="AC70" i="8"/>
  <c r="M21" i="7" s="1"/>
  <c r="R65" i="2"/>
  <c r="AE251" i="8"/>
  <c r="O65" i="7" s="1"/>
  <c r="AE85" i="8"/>
  <c r="O24" i="7" s="1"/>
  <c r="Q99" i="8"/>
  <c r="I104" i="8"/>
  <c r="I78" i="15"/>
  <c r="U164" i="8"/>
  <c r="AE165" i="8"/>
  <c r="O52" i="7" s="1"/>
  <c r="AC165" i="8"/>
  <c r="M52" i="7" s="1"/>
  <c r="Q165" i="8"/>
  <c r="AE157" i="8"/>
  <c r="Q164" i="8"/>
  <c r="AA165" i="8"/>
  <c r="K52" i="7" s="1"/>
  <c r="K165" i="8"/>
  <c r="O165" i="8"/>
  <c r="Y157" i="8"/>
  <c r="S164" i="8"/>
  <c r="B171" i="15"/>
  <c r="W165" i="8"/>
  <c r="G52" i="7" s="1"/>
  <c r="U165" i="8"/>
  <c r="AA157" i="8"/>
  <c r="H219" i="15"/>
  <c r="AC50" i="8"/>
  <c r="AA121" i="8"/>
  <c r="K39" i="7" s="1"/>
  <c r="Q109" i="8"/>
  <c r="Q113" i="8" s="1"/>
  <c r="W50" i="8"/>
  <c r="M109" i="8"/>
  <c r="M113" i="8" s="1"/>
  <c r="Q121" i="8"/>
  <c r="S109" i="8"/>
  <c r="S113" i="8" s="1"/>
  <c r="I178" i="8"/>
  <c r="K139" i="15"/>
  <c r="A78" i="15"/>
  <c r="A121" i="15" s="1"/>
  <c r="K99" i="8"/>
  <c r="K104" i="8" s="1"/>
  <c r="AA50" i="8"/>
  <c r="I53" i="8"/>
  <c r="H47" i="15"/>
  <c r="S99" i="8"/>
  <c r="O109" i="8"/>
  <c r="O113" i="8" s="1"/>
  <c r="U109" i="8"/>
  <c r="U113" i="8" s="1"/>
  <c r="AE121" i="8"/>
  <c r="O39" i="7" s="1"/>
  <c r="M121" i="8"/>
  <c r="O121" i="8"/>
  <c r="AC121" i="8"/>
  <c r="M39" i="7" s="1"/>
  <c r="K121" i="8"/>
  <c r="I68" i="8"/>
  <c r="O68" i="8" s="1"/>
  <c r="B68" i="8"/>
  <c r="I374" i="8" s="1"/>
  <c r="U99" i="8"/>
  <c r="U104" i="8" s="1"/>
  <c r="O99" i="8"/>
  <c r="A250" i="8"/>
  <c r="O247" i="8"/>
  <c r="K161" i="8"/>
  <c r="Q247" i="8"/>
  <c r="U247" i="8"/>
  <c r="E117" i="6"/>
  <c r="W358" i="8"/>
  <c r="K113" i="8"/>
  <c r="E39" i="2"/>
  <c r="G17" i="2"/>
  <c r="K20" i="1"/>
  <c r="M321" i="8" s="1"/>
  <c r="M305" i="8" s="1"/>
  <c r="K19" i="1"/>
  <c r="N66" i="2"/>
  <c r="T66" i="2"/>
  <c r="Q12" i="7"/>
  <c r="Q82" i="7" s="1"/>
  <c r="AG335" i="8"/>
  <c r="E24" i="3"/>
  <c r="Z61" i="2"/>
  <c r="AB61" i="2" s="1"/>
  <c r="F152" i="11"/>
  <c r="D63" i="11"/>
  <c r="R20" i="10"/>
  <c r="P28" i="10"/>
  <c r="R28" i="10" s="1"/>
  <c r="R99" i="1"/>
  <c r="Q99" i="1"/>
  <c r="G82" i="7"/>
  <c r="N95" i="10"/>
  <c r="N103" i="10"/>
  <c r="N18" i="10"/>
  <c r="N22" i="10"/>
  <c r="N24" i="10"/>
  <c r="N101" i="10"/>
  <c r="N26" i="10"/>
  <c r="N20" i="10"/>
  <c r="E40" i="2"/>
  <c r="I40" i="2" s="1"/>
  <c r="G18" i="2"/>
  <c r="P97" i="10"/>
  <c r="R97" i="10" s="1"/>
  <c r="N97" i="10"/>
  <c r="C80" i="2"/>
  <c r="K320" i="8"/>
  <c r="Q89" i="1"/>
  <c r="M95" i="1"/>
  <c r="Q95" i="1" s="1"/>
  <c r="V24" i="1"/>
  <c r="V23" i="1"/>
  <c r="V21" i="1"/>
  <c r="M94" i="1"/>
  <c r="E43" i="3"/>
  <c r="I36" i="3" s="1"/>
  <c r="J26" i="10"/>
  <c r="J18" i="10"/>
  <c r="J99" i="10"/>
  <c r="J103" i="10"/>
  <c r="J95" i="10"/>
  <c r="J20" i="10"/>
  <c r="J97" i="10"/>
  <c r="J22" i="10"/>
  <c r="N99" i="10"/>
  <c r="F21" i="1"/>
  <c r="O320" i="8" s="1"/>
  <c r="F23" i="1"/>
  <c r="S320" i="8" s="1"/>
  <c r="F22" i="1"/>
  <c r="Q320" i="8" s="1"/>
  <c r="F24" i="1"/>
  <c r="U320" i="8" s="1"/>
  <c r="F20" i="1"/>
  <c r="M320" i="8" s="1"/>
  <c r="D21" i="16"/>
  <c r="D25" i="16" s="1"/>
  <c r="F18" i="16" s="1"/>
  <c r="Q47" i="1"/>
  <c r="C20" i="2"/>
  <c r="AB22" i="1"/>
  <c r="AB26" i="1" s="1"/>
  <c r="AD20" i="1" s="1"/>
  <c r="M323" i="8" s="1"/>
  <c r="V22" i="1"/>
  <c r="Q71" i="1"/>
  <c r="Q75" i="1" s="1"/>
  <c r="P101" i="10"/>
  <c r="R101" i="10" s="1"/>
  <c r="J101" i="10"/>
  <c r="P93" i="10"/>
  <c r="H105" i="10"/>
  <c r="J93" i="10"/>
  <c r="J24" i="10"/>
  <c r="AE81" i="8"/>
  <c r="W81" i="8"/>
  <c r="Y81" i="8"/>
  <c r="AC81" i="8"/>
  <c r="AA81" i="8"/>
  <c r="B81" i="8"/>
  <c r="S119" i="8"/>
  <c r="M119" i="8"/>
  <c r="AE119" i="8"/>
  <c r="Q119" i="8"/>
  <c r="AA119" i="8"/>
  <c r="K119" i="8"/>
  <c r="O119" i="8"/>
  <c r="U119" i="8"/>
  <c r="U123" i="8" s="1"/>
  <c r="AC119" i="8"/>
  <c r="AE385" i="8"/>
  <c r="Y385" i="8"/>
  <c r="AA385" i="8"/>
  <c r="AC385" i="8"/>
  <c r="W385" i="8"/>
  <c r="I19" i="8"/>
  <c r="H12" i="15"/>
  <c r="B78" i="15"/>
  <c r="B121" i="15" s="1"/>
  <c r="I402" i="8"/>
  <c r="I114" i="15"/>
  <c r="I119" i="15" s="1"/>
  <c r="B385" i="8"/>
  <c r="I67" i="8"/>
  <c r="W67" i="8" s="1"/>
  <c r="I66" i="8"/>
  <c r="H31" i="10"/>
  <c r="H33" i="10" s="1"/>
  <c r="H38" i="10" s="1"/>
  <c r="D31" i="10"/>
  <c r="L108" i="10"/>
  <c r="H108" i="10"/>
  <c r="L31" i="10"/>
  <c r="D108" i="10"/>
  <c r="I34" i="8"/>
  <c r="H33" i="15"/>
  <c r="I80" i="8"/>
  <c r="H76" i="15"/>
  <c r="H78" i="15" s="1"/>
  <c r="I123" i="8"/>
  <c r="I398" i="8"/>
  <c r="I93" i="15"/>
  <c r="AA384" i="8"/>
  <c r="Y384" i="8"/>
  <c r="AE384" i="8"/>
  <c r="AE70" i="8"/>
  <c r="O21" i="7" s="1"/>
  <c r="AE387" i="8"/>
  <c r="Y332" i="8"/>
  <c r="I106" i="2"/>
  <c r="S161" i="8"/>
  <c r="I271" i="8"/>
  <c r="Q161" i="8"/>
  <c r="U161" i="8"/>
  <c r="U246" i="8"/>
  <c r="I281" i="8"/>
  <c r="Y158" i="8"/>
  <c r="Q246" i="8"/>
  <c r="A171" i="15"/>
  <c r="K246" i="8"/>
  <c r="S246" i="8"/>
  <c r="M246" i="8"/>
  <c r="I219" i="15"/>
  <c r="O246" i="8"/>
  <c r="I187" i="8"/>
  <c r="AE158" i="8"/>
  <c r="AA158" i="8"/>
  <c r="AC158" i="8"/>
  <c r="I174" i="8"/>
  <c r="W153" i="8"/>
  <c r="AA153" i="8"/>
  <c r="AE153" i="8"/>
  <c r="Y153" i="8"/>
  <c r="AC153" i="8"/>
  <c r="H152" i="15"/>
  <c r="B169" i="8" s="1"/>
  <c r="W154" i="8"/>
  <c r="Y154" i="8"/>
  <c r="AA154" i="8"/>
  <c r="AE154" i="8"/>
  <c r="AC154" i="8"/>
  <c r="J169" i="15"/>
  <c r="I171" i="15"/>
  <c r="I181" i="15"/>
  <c r="AE364" i="8" l="1"/>
  <c r="AG318" i="8"/>
  <c r="AE244" i="8"/>
  <c r="AE299" i="8"/>
  <c r="AE36" i="8"/>
  <c r="AE27" i="8"/>
  <c r="AE365" i="8"/>
  <c r="AE310" i="8"/>
  <c r="O69" i="7" s="1"/>
  <c r="AE370" i="8"/>
  <c r="AE54" i="8"/>
  <c r="AE46" i="8"/>
  <c r="AE377" i="8"/>
  <c r="AE118" i="8"/>
  <c r="O36" i="7" s="1"/>
  <c r="AE38" i="8"/>
  <c r="AE239" i="8"/>
  <c r="AE238" i="8"/>
  <c r="AE48" i="8"/>
  <c r="AE400" i="8"/>
  <c r="AE243" i="8"/>
  <c r="AE20" i="8"/>
  <c r="AE367" i="8"/>
  <c r="AE110" i="8"/>
  <c r="AE386" i="8"/>
  <c r="AE62" i="8"/>
  <c r="AE122" i="8"/>
  <c r="O40" i="7" s="1"/>
  <c r="AE37" i="8"/>
  <c r="AE245" i="8"/>
  <c r="AE305" i="8"/>
  <c r="AE152" i="8"/>
  <c r="AE35" i="8"/>
  <c r="AE307" i="8"/>
  <c r="AE30" i="8"/>
  <c r="AE86" i="8"/>
  <c r="AE40" i="8"/>
  <c r="AE71" i="8"/>
  <c r="AE64" i="8"/>
  <c r="AE375" i="8"/>
  <c r="AE69" i="8"/>
  <c r="AE39" i="8"/>
  <c r="AE84" i="8"/>
  <c r="AE237" i="8"/>
  <c r="AE22" i="8"/>
  <c r="AE388" i="8"/>
  <c r="AE383" i="8"/>
  <c r="AE401" i="8"/>
  <c r="AE23" i="8"/>
  <c r="AG225" i="8"/>
  <c r="AE376" i="8"/>
  <c r="O159" i="8"/>
  <c r="M159" i="8"/>
  <c r="S159" i="8"/>
  <c r="K159" i="8"/>
  <c r="U159" i="8"/>
  <c r="AD19" i="1"/>
  <c r="AE359" i="8"/>
  <c r="AE225" i="8" s="1"/>
  <c r="K68" i="8"/>
  <c r="M68" i="8"/>
  <c r="E135" i="6"/>
  <c r="S104" i="8"/>
  <c r="O104" i="8"/>
  <c r="I22" i="3"/>
  <c r="AG334" i="8" s="1"/>
  <c r="AG396" i="8" s="1"/>
  <c r="I17" i="3"/>
  <c r="Q104" i="8"/>
  <c r="W225" i="8"/>
  <c r="S123" i="8"/>
  <c r="T68" i="2"/>
  <c r="R91" i="1"/>
  <c r="T91" i="1" s="1"/>
  <c r="I221" i="15"/>
  <c r="I227" i="15" s="1"/>
  <c r="I181" i="8"/>
  <c r="O123" i="8"/>
  <c r="Q123" i="8"/>
  <c r="S68" i="8"/>
  <c r="M123" i="8"/>
  <c r="Q68" i="8"/>
  <c r="U68" i="8"/>
  <c r="AG53" i="8"/>
  <c r="W53" i="8"/>
  <c r="W56" i="8" s="1"/>
  <c r="Y53" i="8"/>
  <c r="Y56" i="8" s="1"/>
  <c r="AE53" i="8"/>
  <c r="AE56" i="8" s="1"/>
  <c r="AA53" i="8"/>
  <c r="AA56" i="8" s="1"/>
  <c r="AC53" i="8"/>
  <c r="AC56" i="8" s="1"/>
  <c r="I56" i="8"/>
  <c r="M374" i="8"/>
  <c r="K374" i="8"/>
  <c r="I372" i="8"/>
  <c r="Q374" i="8"/>
  <c r="O374" i="8"/>
  <c r="I373" i="8"/>
  <c r="S374" i="8"/>
  <c r="U374" i="8"/>
  <c r="J28" i="10"/>
  <c r="AI358" i="8"/>
  <c r="AJ358" i="8" s="1"/>
  <c r="W102" i="8"/>
  <c r="G20" i="2"/>
  <c r="G21" i="2" s="1"/>
  <c r="K18" i="2" s="1"/>
  <c r="V45" i="1" s="1"/>
  <c r="E42" i="2"/>
  <c r="I42" i="2" s="1"/>
  <c r="E12" i="7"/>
  <c r="F19" i="16"/>
  <c r="F23" i="16"/>
  <c r="F22" i="16"/>
  <c r="F20" i="16"/>
  <c r="C21" i="2"/>
  <c r="C24" i="2" s="1"/>
  <c r="R93" i="10"/>
  <c r="P105" i="10"/>
  <c r="R105" i="10" s="1"/>
  <c r="Q307" i="8"/>
  <c r="Q36" i="8"/>
  <c r="Q38" i="8"/>
  <c r="Q39" i="8"/>
  <c r="Q299" i="8"/>
  <c r="Q152" i="8"/>
  <c r="Q37" i="8"/>
  <c r="Q364" i="8"/>
  <c r="Q30" i="8"/>
  <c r="Q20" i="8"/>
  <c r="Q27" i="8"/>
  <c r="Q23" i="8"/>
  <c r="Q40" i="8"/>
  <c r="Q22" i="8"/>
  <c r="Q35" i="8"/>
  <c r="Q365" i="8"/>
  <c r="R70" i="1"/>
  <c r="O322" i="8"/>
  <c r="O64" i="8" s="1"/>
  <c r="G80" i="2"/>
  <c r="C83" i="2"/>
  <c r="AA69" i="1"/>
  <c r="N105" i="10"/>
  <c r="N28" i="10"/>
  <c r="E82" i="7"/>
  <c r="I20" i="3"/>
  <c r="I41" i="3"/>
  <c r="I19" i="3"/>
  <c r="I21" i="3"/>
  <c r="I40" i="3"/>
  <c r="I39" i="3"/>
  <c r="I38" i="3"/>
  <c r="I18" i="3"/>
  <c r="AA68" i="1"/>
  <c r="R69" i="1"/>
  <c r="M322" i="8"/>
  <c r="M64" i="8" s="1"/>
  <c r="U307" i="8"/>
  <c r="U299" i="8"/>
  <c r="U30" i="8"/>
  <c r="U20" i="8"/>
  <c r="U40" i="8"/>
  <c r="U36" i="8"/>
  <c r="U27" i="8"/>
  <c r="U31" i="8" s="1"/>
  <c r="U22" i="8"/>
  <c r="U23" i="8"/>
  <c r="U365" i="8"/>
  <c r="U364" i="8"/>
  <c r="U35" i="8"/>
  <c r="U37" i="8"/>
  <c r="U39" i="8"/>
  <c r="U38" i="8"/>
  <c r="U152" i="8"/>
  <c r="F26" i="1"/>
  <c r="H110" i="10"/>
  <c r="H115" i="10" s="1"/>
  <c r="AD24" i="1"/>
  <c r="U323" i="8" s="1"/>
  <c r="AD23" i="1"/>
  <c r="S323" i="8" s="1"/>
  <c r="AD21" i="1"/>
  <c r="O323" i="8" s="1"/>
  <c r="R71" i="1"/>
  <c r="Q322" i="8"/>
  <c r="Q64" i="8" s="1"/>
  <c r="F21" i="16"/>
  <c r="S299" i="8"/>
  <c r="S37" i="8"/>
  <c r="S152" i="8"/>
  <c r="S36" i="8"/>
  <c r="S38" i="8"/>
  <c r="S307" i="8"/>
  <c r="S23" i="8"/>
  <c r="S30" i="8"/>
  <c r="S40" i="8"/>
  <c r="S364" i="8"/>
  <c r="S22" i="8"/>
  <c r="S20" i="8"/>
  <c r="S27" i="8"/>
  <c r="S365" i="8"/>
  <c r="S35" i="8"/>
  <c r="S39" i="8"/>
  <c r="S322" i="8"/>
  <c r="S64" i="8" s="1"/>
  <c r="R72" i="1"/>
  <c r="I37" i="3"/>
  <c r="Y336" i="8" s="1"/>
  <c r="Q63" i="11"/>
  <c r="D152" i="11"/>
  <c r="Q152" i="11" s="1"/>
  <c r="Z66" i="2"/>
  <c r="K321" i="8"/>
  <c r="K26" i="1"/>
  <c r="I39" i="2"/>
  <c r="K322" i="8"/>
  <c r="R68" i="1"/>
  <c r="V26" i="1"/>
  <c r="Q94" i="1"/>
  <c r="R94" i="1"/>
  <c r="T66" i="1" s="1"/>
  <c r="X66" i="1" s="1"/>
  <c r="X73" i="1" s="1"/>
  <c r="J105" i="10"/>
  <c r="AD22" i="1"/>
  <c r="Q323" i="8" s="1"/>
  <c r="M307" i="8"/>
  <c r="M299" i="8"/>
  <c r="M152" i="8"/>
  <c r="M36" i="8"/>
  <c r="M30" i="8"/>
  <c r="M27" i="8"/>
  <c r="M20" i="8"/>
  <c r="M23" i="8"/>
  <c r="M364" i="8"/>
  <c r="M22" i="8"/>
  <c r="M40" i="8"/>
  <c r="M39" i="8"/>
  <c r="M365" i="8"/>
  <c r="M38" i="8"/>
  <c r="M35" i="8"/>
  <c r="M37" i="8"/>
  <c r="O152" i="8"/>
  <c r="O36" i="8"/>
  <c r="O307" i="8"/>
  <c r="O299" i="8"/>
  <c r="O20" i="8"/>
  <c r="O30" i="8"/>
  <c r="O27" i="8"/>
  <c r="O40" i="8"/>
  <c r="O22" i="8"/>
  <c r="O23" i="8"/>
  <c r="O364" i="8"/>
  <c r="O39" i="8"/>
  <c r="O38" i="8"/>
  <c r="O37" i="8"/>
  <c r="O365" i="8"/>
  <c r="O35" i="8"/>
  <c r="W336" i="8"/>
  <c r="R73" i="1"/>
  <c r="U322" i="8"/>
  <c r="U64" i="8" s="1"/>
  <c r="K38" i="8"/>
  <c r="K307" i="8"/>
  <c r="K36" i="8"/>
  <c r="K37" i="8"/>
  <c r="K30" i="8"/>
  <c r="AI320" i="8"/>
  <c r="AJ320" i="8" s="1"/>
  <c r="K23" i="8"/>
  <c r="K40" i="8"/>
  <c r="K299" i="8"/>
  <c r="K364" i="8"/>
  <c r="K27" i="8"/>
  <c r="K20" i="8"/>
  <c r="K22" i="8"/>
  <c r="K365" i="8"/>
  <c r="K35" i="8"/>
  <c r="K152" i="8"/>
  <c r="K39" i="8"/>
  <c r="T42" i="1"/>
  <c r="X42" i="1" s="1"/>
  <c r="H16" i="16"/>
  <c r="Q51" i="1"/>
  <c r="R47" i="1" s="1"/>
  <c r="AC335" i="8"/>
  <c r="AE335" i="8"/>
  <c r="Q398" i="8"/>
  <c r="O398" i="8"/>
  <c r="U398" i="8"/>
  <c r="S398" i="8"/>
  <c r="Y398" i="8"/>
  <c r="W398" i="8"/>
  <c r="K398" i="8"/>
  <c r="AC398" i="8"/>
  <c r="AG398" i="8"/>
  <c r="AE398" i="8"/>
  <c r="AA398" i="8"/>
  <c r="M398" i="8"/>
  <c r="L33" i="10"/>
  <c r="P31" i="10"/>
  <c r="P33" i="10" s="1"/>
  <c r="R33" i="10" s="1"/>
  <c r="K123" i="8"/>
  <c r="W80" i="8"/>
  <c r="Y80" i="8"/>
  <c r="AC80" i="8"/>
  <c r="AA80" i="8"/>
  <c r="I91" i="8"/>
  <c r="AE80" i="8"/>
  <c r="AG80" i="8"/>
  <c r="I24" i="8"/>
  <c r="W19" i="8"/>
  <c r="W24" i="8" s="1"/>
  <c r="M19" i="8"/>
  <c r="O19" i="8"/>
  <c r="AC19" i="8"/>
  <c r="AC24" i="8" s="1"/>
  <c r="Y19" i="8"/>
  <c r="Y24" i="8" s="1"/>
  <c r="AE19" i="8"/>
  <c r="AE24" i="8" s="1"/>
  <c r="S19" i="8"/>
  <c r="Q19" i="8"/>
  <c r="U19" i="8"/>
  <c r="AA19" i="8"/>
  <c r="AA24" i="8" s="1"/>
  <c r="K19" i="8"/>
  <c r="AG19" i="8"/>
  <c r="I41" i="8"/>
  <c r="Q34" i="8"/>
  <c r="AC34" i="8"/>
  <c r="AC41" i="8" s="1"/>
  <c r="W34" i="8"/>
  <c r="W41" i="8" s="1"/>
  <c r="AA34" i="8"/>
  <c r="AA41" i="8" s="1"/>
  <c r="Y34" i="8"/>
  <c r="Y41" i="8" s="1"/>
  <c r="O34" i="8"/>
  <c r="AG34" i="8"/>
  <c r="U34" i="8"/>
  <c r="S34" i="8"/>
  <c r="M34" i="8"/>
  <c r="K34" i="8"/>
  <c r="AE34" i="8"/>
  <c r="AE41" i="8" s="1"/>
  <c r="I121" i="15"/>
  <c r="O37" i="7"/>
  <c r="AE123" i="8"/>
  <c r="AC66" i="8"/>
  <c r="M19" i="7" s="1"/>
  <c r="I76" i="8"/>
  <c r="AA66" i="8"/>
  <c r="K19" i="7" s="1"/>
  <c r="W66" i="8"/>
  <c r="G19" i="7" s="1"/>
  <c r="Y66" i="8"/>
  <c r="I19" i="7" s="1"/>
  <c r="AG66" i="8"/>
  <c r="Q19" i="7" s="1"/>
  <c r="AE66" i="8"/>
  <c r="O19" i="7" s="1"/>
  <c r="B65" i="8"/>
  <c r="H121" i="15"/>
  <c r="P108" i="10"/>
  <c r="L110" i="10"/>
  <c r="L115" i="10" s="1"/>
  <c r="M37" i="7"/>
  <c r="AC123" i="8"/>
  <c r="K37" i="7"/>
  <c r="AA123" i="8"/>
  <c r="Y376" i="8"/>
  <c r="Y387" i="8"/>
  <c r="Y85" i="8"/>
  <c r="AI332" i="8"/>
  <c r="AJ332" i="8" s="1"/>
  <c r="Y70" i="8"/>
  <c r="Y165" i="8"/>
  <c r="Y251" i="8"/>
  <c r="I169" i="8"/>
  <c r="B170" i="8" s="1"/>
  <c r="B154" i="8"/>
  <c r="H171" i="15"/>
  <c r="H181" i="15"/>
  <c r="H221" i="15" s="1"/>
  <c r="H227" i="15" s="1"/>
  <c r="AG240" i="8"/>
  <c r="AE240" i="8"/>
  <c r="AC240" i="8"/>
  <c r="AA240" i="8"/>
  <c r="Y240" i="8"/>
  <c r="W240" i="8"/>
  <c r="I258" i="8"/>
  <c r="I273" i="8" s="1"/>
  <c r="I302" i="8" s="1"/>
  <c r="AE50" i="8" l="1"/>
  <c r="O34" i="7"/>
  <c r="AE31" i="8"/>
  <c r="AG307" i="8"/>
  <c r="AG299" i="8"/>
  <c r="AG364" i="8"/>
  <c r="AG244" i="8"/>
  <c r="AG118" i="8"/>
  <c r="AG375" i="8"/>
  <c r="AG370" i="8"/>
  <c r="AG86" i="8"/>
  <c r="AG388" i="8"/>
  <c r="AG35" i="8"/>
  <c r="AG41" i="8" s="1"/>
  <c r="AG386" i="8"/>
  <c r="AG69" i="8"/>
  <c r="AG310" i="8"/>
  <c r="Q69" i="7" s="1"/>
  <c r="AG64" i="8"/>
  <c r="AG36" i="8"/>
  <c r="AG71" i="8"/>
  <c r="AG37" i="8"/>
  <c r="AG238" i="8"/>
  <c r="AG39" i="8"/>
  <c r="AG62" i="8"/>
  <c r="AG401" i="8"/>
  <c r="AG383" i="8"/>
  <c r="AG27" i="8"/>
  <c r="AG22" i="8"/>
  <c r="AG23" i="8"/>
  <c r="AG38" i="8"/>
  <c r="AG367" i="8"/>
  <c r="AG46" i="8"/>
  <c r="AG400" i="8"/>
  <c r="AG237" i="8"/>
  <c r="AG152" i="8"/>
  <c r="AG54" i="8"/>
  <c r="AG56" i="8" s="1"/>
  <c r="AG40" i="8"/>
  <c r="AG20" i="8"/>
  <c r="AG24" i="8" s="1"/>
  <c r="AG84" i="8"/>
  <c r="AG30" i="8"/>
  <c r="AG377" i="8"/>
  <c r="AG48" i="8"/>
  <c r="AG305" i="8"/>
  <c r="AG365" i="8"/>
  <c r="AG239" i="8"/>
  <c r="AG243" i="8"/>
  <c r="AG110" i="8"/>
  <c r="Q34" i="7" s="1"/>
  <c r="AG122" i="8"/>
  <c r="Q40" i="7" s="1"/>
  <c r="AG245" i="8"/>
  <c r="AG387" i="8"/>
  <c r="AI387" i="8" s="1"/>
  <c r="AG157" i="8"/>
  <c r="AG70" i="8"/>
  <c r="Q21" i="7" s="1"/>
  <c r="AG368" i="8"/>
  <c r="AG376" i="8"/>
  <c r="AI376" i="8" s="1"/>
  <c r="AG121" i="8"/>
  <c r="Q39" i="7" s="1"/>
  <c r="AG366" i="8"/>
  <c r="AG165" i="8"/>
  <c r="Q52" i="7" s="1"/>
  <c r="AG85" i="8"/>
  <c r="Q24" i="7" s="1"/>
  <c r="AG384" i="8"/>
  <c r="AG81" i="8"/>
  <c r="AG119" i="8"/>
  <c r="Q37" i="7" s="1"/>
  <c r="AG385" i="8"/>
  <c r="AG153" i="8"/>
  <c r="AG154" i="8"/>
  <c r="AG102" i="8"/>
  <c r="Q31" i="7" s="1"/>
  <c r="AG251" i="8"/>
  <c r="Q65" i="7" s="1"/>
  <c r="AG158" i="8"/>
  <c r="K17" i="2"/>
  <c r="H18" i="16"/>
  <c r="AI359" i="8"/>
  <c r="AJ359" i="8" s="1"/>
  <c r="T68" i="1"/>
  <c r="E44" i="2"/>
  <c r="L38" i="10"/>
  <c r="I407" i="8"/>
  <c r="I412" i="8" s="1"/>
  <c r="I415" i="8" s="1"/>
  <c r="P110" i="10"/>
  <c r="R110" i="10" s="1"/>
  <c r="T47" i="1"/>
  <c r="I43" i="3"/>
  <c r="H19" i="16"/>
  <c r="H20" i="16"/>
  <c r="X45" i="1"/>
  <c r="B374" i="8"/>
  <c r="Y372" i="8"/>
  <c r="AG372" i="8"/>
  <c r="AA372" i="8"/>
  <c r="AE372" i="8"/>
  <c r="AC372" i="8"/>
  <c r="W372" i="8"/>
  <c r="AA373" i="8"/>
  <c r="AE373" i="8"/>
  <c r="AG373" i="8"/>
  <c r="Y373" i="8"/>
  <c r="W373" i="8"/>
  <c r="AC373" i="8"/>
  <c r="B182" i="8"/>
  <c r="I201" i="8"/>
  <c r="U24" i="8"/>
  <c r="W43" i="8"/>
  <c r="G31" i="7"/>
  <c r="E31" i="7" s="1"/>
  <c r="AI102" i="8"/>
  <c r="M41" i="8"/>
  <c r="AC43" i="8"/>
  <c r="AI22" i="8"/>
  <c r="AI299" i="8"/>
  <c r="AI30" i="8"/>
  <c r="AI38" i="8"/>
  <c r="M24" i="8"/>
  <c r="AI40" i="8"/>
  <c r="AI37" i="8"/>
  <c r="Q31" i="8"/>
  <c r="U41" i="8"/>
  <c r="O31" i="8"/>
  <c r="AA335" i="8"/>
  <c r="K64" i="8"/>
  <c r="AI64" i="8" s="1"/>
  <c r="AI322" i="8"/>
  <c r="AJ322" i="8" s="1"/>
  <c r="K305" i="8"/>
  <c r="AI305" i="8" s="1"/>
  <c r="AI321" i="8"/>
  <c r="AJ321" i="8" s="1"/>
  <c r="W334" i="8"/>
  <c r="I24" i="3"/>
  <c r="K41" i="8"/>
  <c r="AG112" i="8"/>
  <c r="Q35" i="7" s="1"/>
  <c r="AG103" i="8"/>
  <c r="Q32" i="7" s="1"/>
  <c r="AG99" i="8"/>
  <c r="Q28" i="7" s="1"/>
  <c r="AG109" i="8"/>
  <c r="AG100" i="8"/>
  <c r="Q29" i="7" s="1"/>
  <c r="AG394" i="8"/>
  <c r="AG399" i="8"/>
  <c r="AG393" i="8"/>
  <c r="AG397" i="8"/>
  <c r="AG111" i="8"/>
  <c r="AG191" i="8"/>
  <c r="AG395" i="8"/>
  <c r="AG98" i="8"/>
  <c r="AG285" i="8"/>
  <c r="R46" i="1"/>
  <c r="T46" i="1" s="1"/>
  <c r="R48" i="1"/>
  <c r="T48" i="1" s="1"/>
  <c r="R49" i="1"/>
  <c r="T49" i="1" s="1"/>
  <c r="R45" i="1"/>
  <c r="R44" i="1"/>
  <c r="T44" i="1" s="1"/>
  <c r="AI152" i="8"/>
  <c r="AI20" i="8"/>
  <c r="Y118" i="8"/>
  <c r="Y401" i="8"/>
  <c r="Y400" i="8"/>
  <c r="Y310" i="8"/>
  <c r="I69" i="7" s="1"/>
  <c r="Y121" i="8"/>
  <c r="I39" i="7" s="1"/>
  <c r="Y122" i="8"/>
  <c r="I40" i="7" s="1"/>
  <c r="Y119" i="8"/>
  <c r="I37" i="7" s="1"/>
  <c r="H21" i="16"/>
  <c r="AA334" i="8"/>
  <c r="AA396" i="8" s="1"/>
  <c r="F25" i="16"/>
  <c r="AI39" i="8"/>
  <c r="AE334" i="8"/>
  <c r="AE396" i="8" s="1"/>
  <c r="O41" i="8"/>
  <c r="Q24" i="8"/>
  <c r="AI27" i="8"/>
  <c r="K31" i="8"/>
  <c r="AI23" i="8"/>
  <c r="AI36" i="8"/>
  <c r="T73" i="1"/>
  <c r="Z73" i="1" s="1"/>
  <c r="U326" i="8" s="1"/>
  <c r="AI35" i="8"/>
  <c r="I44" i="2"/>
  <c r="K39" i="2" s="1"/>
  <c r="T72" i="1"/>
  <c r="H22" i="16"/>
  <c r="K20" i="2"/>
  <c r="V47" i="1" s="1"/>
  <c r="X47" i="1" s="1"/>
  <c r="AA71" i="1"/>
  <c r="AA75" i="1" s="1"/>
  <c r="W118" i="8"/>
  <c r="AI336" i="8"/>
  <c r="AJ336" i="8" s="1"/>
  <c r="W401" i="8"/>
  <c r="W400" i="8"/>
  <c r="W310" i="8"/>
  <c r="W122" i="8"/>
  <c r="W121" i="8"/>
  <c r="W119" i="8"/>
  <c r="K323" i="8"/>
  <c r="AI323" i="8" s="1"/>
  <c r="AJ323" i="8" s="1"/>
  <c r="AD26" i="1"/>
  <c r="T69" i="1"/>
  <c r="K19" i="2"/>
  <c r="V46" i="1" s="1"/>
  <c r="X46" i="1" s="1"/>
  <c r="G24" i="2"/>
  <c r="I17" i="2" s="1"/>
  <c r="S41" i="8"/>
  <c r="Q41" i="8"/>
  <c r="K24" i="8"/>
  <c r="S24" i="8"/>
  <c r="O24" i="8"/>
  <c r="L16" i="16"/>
  <c r="X48" i="1"/>
  <c r="X49" i="1"/>
  <c r="AI365" i="8"/>
  <c r="AI364" i="8"/>
  <c r="AI307" i="8"/>
  <c r="M31" i="8"/>
  <c r="R75" i="1"/>
  <c r="AA63" i="2"/>
  <c r="S31" i="8"/>
  <c r="T71" i="1"/>
  <c r="Y334" i="8"/>
  <c r="Y396" i="8" s="1"/>
  <c r="AC334" i="8"/>
  <c r="AC396" i="8" s="1"/>
  <c r="T70" i="1"/>
  <c r="H23" i="16"/>
  <c r="Y43" i="8"/>
  <c r="AI398" i="8"/>
  <c r="AI19" i="8"/>
  <c r="I93" i="8"/>
  <c r="E19" i="7"/>
  <c r="AI34" i="8"/>
  <c r="AE43" i="8"/>
  <c r="AA43" i="8"/>
  <c r="I43" i="8"/>
  <c r="I65" i="7"/>
  <c r="E65" i="7" s="1"/>
  <c r="AI251" i="8"/>
  <c r="I24" i="7"/>
  <c r="E24" i="7" s="1"/>
  <c r="AI85" i="8"/>
  <c r="I52" i="7"/>
  <c r="E52" i="7" s="1"/>
  <c r="AI165" i="8"/>
  <c r="I21" i="7"/>
  <c r="E21" i="7" s="1"/>
  <c r="AI70" i="8"/>
  <c r="I314" i="8"/>
  <c r="C74" i="7" s="1"/>
  <c r="AG31" i="8" l="1"/>
  <c r="AG43" i="8" s="1"/>
  <c r="AI110" i="8"/>
  <c r="E34" i="7"/>
  <c r="Q36" i="7"/>
  <c r="AG123" i="8"/>
  <c r="AG50" i="8"/>
  <c r="Z46" i="1"/>
  <c r="O325" i="8" s="1"/>
  <c r="O366" i="8" s="1"/>
  <c r="W396" i="8"/>
  <c r="AI396" i="8" s="1"/>
  <c r="W109" i="8"/>
  <c r="I20" i="2"/>
  <c r="Q324" i="8" s="1"/>
  <c r="Z47" i="1"/>
  <c r="Q325" i="8" s="1"/>
  <c r="Q366" i="8" s="1"/>
  <c r="K42" i="2"/>
  <c r="Q329" i="8" s="1"/>
  <c r="O367" i="8"/>
  <c r="T45" i="1"/>
  <c r="Z45" i="1" s="1"/>
  <c r="M325" i="8" s="1"/>
  <c r="Q43" i="8"/>
  <c r="U43" i="8"/>
  <c r="AI401" i="8"/>
  <c r="M43" i="8"/>
  <c r="AI400" i="8"/>
  <c r="AI24" i="8"/>
  <c r="S43" i="8"/>
  <c r="AI31" i="8"/>
  <c r="T75" i="1"/>
  <c r="G39" i="7"/>
  <c r="E39" i="7" s="1"/>
  <c r="AI121" i="8"/>
  <c r="AE111" i="8"/>
  <c r="AE98" i="8"/>
  <c r="AE112" i="8"/>
  <c r="O35" i="7" s="1"/>
  <c r="AE99" i="8"/>
  <c r="O28" i="7" s="1"/>
  <c r="AE103" i="8"/>
  <c r="O32" i="7" s="1"/>
  <c r="AE399" i="8"/>
  <c r="AE100" i="8"/>
  <c r="O29" i="7" s="1"/>
  <c r="AE394" i="8"/>
  <c r="AE397" i="8"/>
  <c r="AE393" i="8"/>
  <c r="AE395" i="8"/>
  <c r="AE191" i="8"/>
  <c r="AE285" i="8"/>
  <c r="AE109" i="8"/>
  <c r="H25" i="16"/>
  <c r="AA100" i="8"/>
  <c r="K29" i="7" s="1"/>
  <c r="AA112" i="8"/>
  <c r="K35" i="7" s="1"/>
  <c r="AA399" i="8"/>
  <c r="AA395" i="8"/>
  <c r="AA393" i="8"/>
  <c r="AA103" i="8"/>
  <c r="K32" i="7" s="1"/>
  <c r="AA394" i="8"/>
  <c r="AA109" i="8"/>
  <c r="AA397" i="8"/>
  <c r="AA191" i="8"/>
  <c r="AA98" i="8"/>
  <c r="AA99" i="8"/>
  <c r="K28" i="7" s="1"/>
  <c r="AA111" i="8"/>
  <c r="AA285" i="8"/>
  <c r="Z49" i="1"/>
  <c r="U325" i="8" s="1"/>
  <c r="Q27" i="7"/>
  <c r="AG104" i="8"/>
  <c r="S329" i="8"/>
  <c r="AI119" i="8"/>
  <c r="G37" i="7"/>
  <c r="E37" i="7" s="1"/>
  <c r="O43" i="8"/>
  <c r="Y100" i="8"/>
  <c r="I29" i="7" s="1"/>
  <c r="Y111" i="8"/>
  <c r="Y112" i="8"/>
  <c r="I35" i="7" s="1"/>
  <c r="Y395" i="8"/>
  <c r="Y397" i="8"/>
  <c r="Y103" i="8"/>
  <c r="I32" i="7" s="1"/>
  <c r="Y394" i="8"/>
  <c r="Y393" i="8"/>
  <c r="Y399" i="8"/>
  <c r="Y191" i="8"/>
  <c r="Y285" i="8"/>
  <c r="Y109" i="8"/>
  <c r="Y98" i="8"/>
  <c r="Y99" i="8"/>
  <c r="I28" i="7" s="1"/>
  <c r="I22" i="2"/>
  <c r="I19" i="2"/>
  <c r="I18" i="2"/>
  <c r="G40" i="7"/>
  <c r="E40" i="7" s="1"/>
  <c r="AI122" i="8"/>
  <c r="J18" i="16"/>
  <c r="L18" i="16" s="1"/>
  <c r="I36" i="7"/>
  <c r="Y123" i="8"/>
  <c r="Z48" i="1"/>
  <c r="S325" i="8" s="1"/>
  <c r="Q33" i="7"/>
  <c r="AG113" i="8"/>
  <c r="AC112" i="8"/>
  <c r="M35" i="7" s="1"/>
  <c r="AC103" i="8"/>
  <c r="M32" i="7" s="1"/>
  <c r="AC100" i="8"/>
  <c r="M29" i="7" s="1"/>
  <c r="AC397" i="8"/>
  <c r="AC111" i="8"/>
  <c r="AC395" i="8"/>
  <c r="AC399" i="8"/>
  <c r="AC393" i="8"/>
  <c r="AC191" i="8"/>
  <c r="AC98" i="8"/>
  <c r="AC109" i="8"/>
  <c r="AC285" i="8"/>
  <c r="AC99" i="8"/>
  <c r="M28" i="7" s="1"/>
  <c r="AC394" i="8"/>
  <c r="AA66" i="2"/>
  <c r="AB66" i="2" s="1"/>
  <c r="AA65" i="2"/>
  <c r="AB65" i="2" s="1"/>
  <c r="AA64" i="2"/>
  <c r="AB64" i="2" s="1"/>
  <c r="AB63" i="2"/>
  <c r="AI41" i="8"/>
  <c r="K43" i="8"/>
  <c r="V44" i="1"/>
  <c r="X44" i="1" s="1"/>
  <c r="K21" i="2"/>
  <c r="K24" i="2" s="1"/>
  <c r="L22" i="16"/>
  <c r="N22" i="16" s="1"/>
  <c r="L23" i="16"/>
  <c r="N23" i="16" s="1"/>
  <c r="O48" i="8"/>
  <c r="O54" i="8"/>
  <c r="O368" i="8"/>
  <c r="O46" i="8"/>
  <c r="O53" i="8"/>
  <c r="O155" i="8"/>
  <c r="O238" i="8"/>
  <c r="O241" i="8"/>
  <c r="O354" i="8" s="1"/>
  <c r="C73" i="6" s="1"/>
  <c r="U69" i="8"/>
  <c r="U388" i="8"/>
  <c r="U377" i="8"/>
  <c r="U84" i="8"/>
  <c r="U71" i="8"/>
  <c r="U370" i="8"/>
  <c r="U86" i="8"/>
  <c r="U386" i="8"/>
  <c r="U375" i="8"/>
  <c r="U62" i="8"/>
  <c r="G69" i="7"/>
  <c r="E69" i="7" s="1"/>
  <c r="AI310" i="8"/>
  <c r="G36" i="7"/>
  <c r="AI118" i="8"/>
  <c r="W123" i="8"/>
  <c r="K41" i="2"/>
  <c r="K40" i="2"/>
  <c r="R51" i="1"/>
  <c r="W100" i="8"/>
  <c r="W103" i="8"/>
  <c r="W99" i="8"/>
  <c r="W112" i="8"/>
  <c r="W395" i="8"/>
  <c r="W393" i="8"/>
  <c r="W394" i="8"/>
  <c r="AI334" i="8"/>
  <c r="AJ334" i="8" s="1"/>
  <c r="W399" i="8"/>
  <c r="W111" i="8"/>
  <c r="W397" i="8"/>
  <c r="W98" i="8"/>
  <c r="W191" i="8"/>
  <c r="W285" i="8"/>
  <c r="I147" i="8"/>
  <c r="B50" i="8"/>
  <c r="T51" i="1" l="1"/>
  <c r="V71" i="1"/>
  <c r="X71" i="1" s="1"/>
  <c r="Z71" i="1" s="1"/>
  <c r="Q326" i="8" s="1"/>
  <c r="J21" i="16"/>
  <c r="L21" i="16" s="1"/>
  <c r="N21" i="16" s="1"/>
  <c r="Q327" i="8" s="1"/>
  <c r="Q53" i="8"/>
  <c r="Q48" i="8"/>
  <c r="Q54" i="8"/>
  <c r="Q46" i="8"/>
  <c r="Q155" i="8"/>
  <c r="Q368" i="8"/>
  <c r="Q241" i="8"/>
  <c r="Q354" i="8" s="1"/>
  <c r="C74" i="6" s="1"/>
  <c r="Q238" i="8"/>
  <c r="B148" i="8"/>
  <c r="Q367" i="8"/>
  <c r="M366" i="8"/>
  <c r="M46" i="8"/>
  <c r="M155" i="8"/>
  <c r="M54" i="8"/>
  <c r="M48" i="8"/>
  <c r="M368" i="8"/>
  <c r="M53" i="8"/>
  <c r="M241" i="8"/>
  <c r="M354" i="8" s="1"/>
  <c r="C72" i="6" s="1"/>
  <c r="M238" i="8"/>
  <c r="M367" i="8"/>
  <c r="K44" i="2"/>
  <c r="S366" i="8"/>
  <c r="S367" i="8"/>
  <c r="U367" i="8"/>
  <c r="U366" i="8"/>
  <c r="E36" i="7"/>
  <c r="O56" i="8"/>
  <c r="AI43" i="8"/>
  <c r="AI395" i="8"/>
  <c r="AI394" i="8"/>
  <c r="AI285" i="8"/>
  <c r="AI123" i="8"/>
  <c r="S46" i="8"/>
  <c r="S48" i="8"/>
  <c r="S238" i="8"/>
  <c r="S368" i="8"/>
  <c r="S54" i="8"/>
  <c r="S53" i="8"/>
  <c r="S155" i="8"/>
  <c r="S241" i="8"/>
  <c r="S354" i="8" s="1"/>
  <c r="C75" i="6" s="1"/>
  <c r="G33" i="7"/>
  <c r="W113" i="8"/>
  <c r="AI109" i="8"/>
  <c r="AI397" i="8"/>
  <c r="G28" i="7"/>
  <c r="E28" i="7" s="1"/>
  <c r="AI99" i="8"/>
  <c r="J20" i="16"/>
  <c r="L20" i="16" s="1"/>
  <c r="N20" i="16" s="1"/>
  <c r="O329" i="8"/>
  <c r="V51" i="1"/>
  <c r="AB68" i="2"/>
  <c r="AC66" i="2" s="1"/>
  <c r="M27" i="7"/>
  <c r="AC104" i="8"/>
  <c r="S324" i="8"/>
  <c r="V72" i="1"/>
  <c r="X72" i="1" s="1"/>
  <c r="Z72" i="1" s="1"/>
  <c r="S326" i="8" s="1"/>
  <c r="I27" i="7"/>
  <c r="Y104" i="8"/>
  <c r="Q328" i="8"/>
  <c r="U329" i="8"/>
  <c r="K33" i="7"/>
  <c r="AA113" i="8"/>
  <c r="G35" i="7"/>
  <c r="E35" i="7" s="1"/>
  <c r="AI112" i="8"/>
  <c r="Q71" i="8"/>
  <c r="Q386" i="8"/>
  <c r="Q86" i="8"/>
  <c r="Q377" i="8"/>
  <c r="Q84" i="8"/>
  <c r="Q375" i="8"/>
  <c r="Q388" i="8"/>
  <c r="Q370" i="8"/>
  <c r="Q62" i="8"/>
  <c r="Q69" i="8"/>
  <c r="O33" i="7"/>
  <c r="AE113" i="8"/>
  <c r="AC163" i="8"/>
  <c r="M50" i="7" s="1"/>
  <c r="AC249" i="8"/>
  <c r="M63" i="7" s="1"/>
  <c r="AC164" i="8"/>
  <c r="M51" i="7" s="1"/>
  <c r="AC250" i="8"/>
  <c r="M64" i="7" s="1"/>
  <c r="AI111" i="8"/>
  <c r="AI393" i="8"/>
  <c r="G32" i="7"/>
  <c r="E32" i="7" s="1"/>
  <c r="AI103" i="8"/>
  <c r="S328" i="8"/>
  <c r="S327" i="8"/>
  <c r="V68" i="1"/>
  <c r="K324" i="8"/>
  <c r="I21" i="2"/>
  <c r="I24" i="2" s="1"/>
  <c r="I33" i="7"/>
  <c r="Y113" i="8"/>
  <c r="U46" i="8"/>
  <c r="U54" i="8"/>
  <c r="U48" i="8"/>
  <c r="U368" i="8"/>
  <c r="U238" i="8"/>
  <c r="U53" i="8"/>
  <c r="U155" i="8"/>
  <c r="U241" i="8"/>
  <c r="U354" i="8" s="1"/>
  <c r="C76" i="6" s="1"/>
  <c r="K27" i="7"/>
  <c r="AA104" i="8"/>
  <c r="G27" i="7"/>
  <c r="AI98" i="8"/>
  <c r="W104" i="8"/>
  <c r="J19" i="16"/>
  <c r="L19" i="16" s="1"/>
  <c r="N19" i="16" s="1"/>
  <c r="M329" i="8"/>
  <c r="M33" i="7"/>
  <c r="AC113" i="8"/>
  <c r="V70" i="1"/>
  <c r="X70" i="1" s="1"/>
  <c r="Z70" i="1" s="1"/>
  <c r="O326" i="8" s="1"/>
  <c r="O324" i="8"/>
  <c r="O27" i="7"/>
  <c r="AE104" i="8"/>
  <c r="AI191" i="8"/>
  <c r="AI399" i="8"/>
  <c r="G29" i="7"/>
  <c r="E29" i="7" s="1"/>
  <c r="AI100" i="8"/>
  <c r="O50" i="8"/>
  <c r="U327" i="8"/>
  <c r="U328" i="8"/>
  <c r="AE250" i="8"/>
  <c r="O64" i="7" s="1"/>
  <c r="AE164" i="8"/>
  <c r="O51" i="7" s="1"/>
  <c r="AE249" i="8"/>
  <c r="O63" i="7" s="1"/>
  <c r="AE163" i="8"/>
  <c r="O50" i="7" s="1"/>
  <c r="V69" i="1"/>
  <c r="X69" i="1" s="1"/>
  <c r="Z69" i="1" s="1"/>
  <c r="M326" i="8" s="1"/>
  <c r="M324" i="8"/>
  <c r="I213" i="8"/>
  <c r="I220" i="8" s="1"/>
  <c r="I230" i="8" s="1"/>
  <c r="B212" i="8"/>
  <c r="Q50" i="8" l="1"/>
  <c r="Q56" i="8"/>
  <c r="M50" i="8"/>
  <c r="M56" i="8"/>
  <c r="AC64" i="2"/>
  <c r="AC63" i="2"/>
  <c r="AC65" i="2"/>
  <c r="E27" i="7"/>
  <c r="U50" i="8"/>
  <c r="S56" i="8"/>
  <c r="O327" i="8"/>
  <c r="O328" i="8"/>
  <c r="AA163" i="8"/>
  <c r="K50" i="7" s="1"/>
  <c r="AA249" i="8"/>
  <c r="K63" i="7" s="1"/>
  <c r="AA164" i="8"/>
  <c r="K51" i="7" s="1"/>
  <c r="AA250" i="8"/>
  <c r="K64" i="7" s="1"/>
  <c r="AI104" i="8"/>
  <c r="U56" i="8"/>
  <c r="J25" i="16"/>
  <c r="AI113" i="8"/>
  <c r="O377" i="8"/>
  <c r="O386" i="8"/>
  <c r="O375" i="8"/>
  <c r="O86" i="8"/>
  <c r="O62" i="8"/>
  <c r="O84" i="8"/>
  <c r="O69" i="8"/>
  <c r="O388" i="8"/>
  <c r="O370" i="8"/>
  <c r="O71" i="8"/>
  <c r="X68" i="1"/>
  <c r="V75" i="1"/>
  <c r="AG163" i="8"/>
  <c r="Q50" i="7" s="1"/>
  <c r="AG164" i="8"/>
  <c r="Q51" i="7" s="1"/>
  <c r="AG249" i="8"/>
  <c r="Q63" i="7" s="1"/>
  <c r="AG250" i="8"/>
  <c r="Q64" i="7" s="1"/>
  <c r="L25" i="16"/>
  <c r="N18" i="16"/>
  <c r="X51" i="1"/>
  <c r="Z44" i="1"/>
  <c r="E33" i="7"/>
  <c r="M327" i="8"/>
  <c r="M328" i="8"/>
  <c r="S384" i="8"/>
  <c r="S81" i="8"/>
  <c r="S372" i="8"/>
  <c r="S154" i="8"/>
  <c r="S240" i="8"/>
  <c r="S356" i="8" s="1"/>
  <c r="S66" i="8"/>
  <c r="M69" i="8"/>
  <c r="M86" i="8"/>
  <c r="M84" i="8"/>
  <c r="M375" i="8"/>
  <c r="M370" i="8"/>
  <c r="M386" i="8"/>
  <c r="M388" i="8"/>
  <c r="M377" i="8"/>
  <c r="M62" i="8"/>
  <c r="M71" i="8"/>
  <c r="U384" i="8"/>
  <c r="U372" i="8"/>
  <c r="U154" i="8"/>
  <c r="U81" i="8"/>
  <c r="U240" i="8"/>
  <c r="U356" i="8" s="1"/>
  <c r="U66" i="8"/>
  <c r="AI324" i="8"/>
  <c r="AJ324" i="8" s="1"/>
  <c r="Q372" i="8"/>
  <c r="Q154" i="8"/>
  <c r="Q81" i="8"/>
  <c r="Q384" i="8"/>
  <c r="Q66" i="8"/>
  <c r="Q240" i="8"/>
  <c r="Q356" i="8" s="1"/>
  <c r="C92" i="6" s="1"/>
  <c r="S69" i="8"/>
  <c r="S84" i="8"/>
  <c r="S370" i="8"/>
  <c r="S375" i="8"/>
  <c r="S71" i="8"/>
  <c r="S86" i="8"/>
  <c r="S377" i="8"/>
  <c r="S62" i="8"/>
  <c r="S388" i="8"/>
  <c r="S386" i="8"/>
  <c r="AC62" i="2"/>
  <c r="AC61" i="2"/>
  <c r="S50" i="8"/>
  <c r="M66" i="8" l="1"/>
  <c r="M384" i="8"/>
  <c r="M81" i="8"/>
  <c r="M372" i="8"/>
  <c r="M154" i="8"/>
  <c r="M240" i="8"/>
  <c r="M356" i="8" s="1"/>
  <c r="K329" i="8"/>
  <c r="AI329" i="8" s="1"/>
  <c r="AJ329" i="8" s="1"/>
  <c r="O372" i="8"/>
  <c r="O384" i="8"/>
  <c r="O81" i="8"/>
  <c r="O154" i="8"/>
  <c r="O240" i="8"/>
  <c r="O356" i="8" s="1"/>
  <c r="O66" i="8"/>
  <c r="N25" i="16"/>
  <c r="K327" i="8"/>
  <c r="C94" i="6"/>
  <c r="C93" i="6"/>
  <c r="Z51" i="1"/>
  <c r="K325" i="8"/>
  <c r="Z68" i="1"/>
  <c r="X75" i="1"/>
  <c r="K366" i="8" l="1"/>
  <c r="AI366" i="8" s="1"/>
  <c r="K367" i="8"/>
  <c r="AI367" i="8" s="1"/>
  <c r="K155" i="8"/>
  <c r="AI155" i="8" s="1"/>
  <c r="K46" i="8"/>
  <c r="K238" i="8"/>
  <c r="AI238" i="8" s="1"/>
  <c r="K54" i="8"/>
  <c r="AI54" i="8" s="1"/>
  <c r="K53" i="8"/>
  <c r="K368" i="8"/>
  <c r="AI368" i="8" s="1"/>
  <c r="AI325" i="8"/>
  <c r="AJ325" i="8" s="1"/>
  <c r="K48" i="8"/>
  <c r="AI48" i="8" s="1"/>
  <c r="K241" i="8"/>
  <c r="C90" i="6"/>
  <c r="K384" i="8"/>
  <c r="AI384" i="8" s="1"/>
  <c r="K240" i="8"/>
  <c r="K372" i="8"/>
  <c r="AI372" i="8" s="1"/>
  <c r="K154" i="8"/>
  <c r="AI154" i="8" s="1"/>
  <c r="K81" i="8"/>
  <c r="K66" i="8"/>
  <c r="AI66" i="8" s="1"/>
  <c r="AI327" i="8"/>
  <c r="AJ327" i="8" s="1"/>
  <c r="K326" i="8"/>
  <c r="Z75" i="1"/>
  <c r="C91" i="6"/>
  <c r="K84" i="8" l="1"/>
  <c r="AI84" i="8" s="1"/>
  <c r="K370" i="8"/>
  <c r="AI370" i="8" s="1"/>
  <c r="AI326" i="8"/>
  <c r="AJ326" i="8" s="1"/>
  <c r="K71" i="8"/>
  <c r="AI71" i="8" s="1"/>
  <c r="K86" i="8"/>
  <c r="AI86" i="8" s="1"/>
  <c r="K386" i="8"/>
  <c r="AI386" i="8" s="1"/>
  <c r="K69" i="8"/>
  <c r="AI69" i="8" s="1"/>
  <c r="K388" i="8"/>
  <c r="AI388" i="8" s="1"/>
  <c r="K62" i="8"/>
  <c r="K375" i="8"/>
  <c r="AI375" i="8" s="1"/>
  <c r="K377" i="8"/>
  <c r="AI377" i="8" s="1"/>
  <c r="AI81" i="8"/>
  <c r="K354" i="8"/>
  <c r="AI241" i="8"/>
  <c r="K50" i="8"/>
  <c r="AI50" i="8" s="1"/>
  <c r="AI46" i="8"/>
  <c r="K356" i="8"/>
  <c r="AI240" i="8"/>
  <c r="K56" i="8"/>
  <c r="AI56" i="8" s="1"/>
  <c r="AI53" i="8"/>
  <c r="K328" i="8" l="1"/>
  <c r="AI328" i="8" s="1"/>
  <c r="AJ328" i="8" s="1"/>
  <c r="C71" i="6"/>
  <c r="C78" i="6" s="1"/>
  <c r="AI354" i="8"/>
  <c r="K355" i="8" s="1"/>
  <c r="C89" i="6"/>
  <c r="C96" i="6" s="1"/>
  <c r="AI356" i="8"/>
  <c r="K357" i="8" s="1"/>
  <c r="AI62" i="8"/>
  <c r="K243" i="8" l="1"/>
  <c r="K157" i="8"/>
  <c r="K239" i="8"/>
  <c r="E89" i="6"/>
  <c r="K244" i="8"/>
  <c r="K383" i="8"/>
  <c r="K80" i="8"/>
  <c r="K158" i="8"/>
  <c r="K153" i="8"/>
  <c r="K245" i="8"/>
  <c r="K237" i="8"/>
  <c r="M355" i="8"/>
  <c r="Q355" i="8"/>
  <c r="U355" i="8"/>
  <c r="O355" i="8"/>
  <c r="S355" i="8"/>
  <c r="Q357" i="8"/>
  <c r="S357" i="8"/>
  <c r="U357" i="8"/>
  <c r="O357" i="8"/>
  <c r="M357" i="8"/>
  <c r="U157" i="8" l="1"/>
  <c r="U80" i="8"/>
  <c r="U153" i="8"/>
  <c r="E94" i="6"/>
  <c r="U239" i="8"/>
  <c r="U245" i="8"/>
  <c r="U158" i="8"/>
  <c r="U383" i="8"/>
  <c r="U244" i="8"/>
  <c r="U237" i="8"/>
  <c r="U243" i="8"/>
  <c r="O67" i="8"/>
  <c r="O340" i="8" s="1"/>
  <c r="O373" i="8"/>
  <c r="E73" i="6"/>
  <c r="O385" i="8"/>
  <c r="O82" i="8"/>
  <c r="E71" i="6"/>
  <c r="K373" i="8"/>
  <c r="K82" i="8"/>
  <c r="K342" i="8" s="1"/>
  <c r="AI355" i="8"/>
  <c r="AJ355" i="8" s="1"/>
  <c r="K385" i="8"/>
  <c r="K67" i="8"/>
  <c r="S157" i="8"/>
  <c r="S153" i="8"/>
  <c r="S237" i="8"/>
  <c r="S245" i="8"/>
  <c r="S243" i="8"/>
  <c r="E93" i="6"/>
  <c r="S239" i="8"/>
  <c r="S158" i="8"/>
  <c r="S383" i="8"/>
  <c r="S80" i="8"/>
  <c r="S244" i="8"/>
  <c r="U385" i="8"/>
  <c r="U67" i="8"/>
  <c r="U340" i="8" s="1"/>
  <c r="U82" i="8"/>
  <c r="E76" i="6"/>
  <c r="U373" i="8"/>
  <c r="M244" i="8"/>
  <c r="M153" i="8"/>
  <c r="M157" i="8"/>
  <c r="M237" i="8"/>
  <c r="M80" i="8"/>
  <c r="M245" i="8"/>
  <c r="M243" i="8"/>
  <c r="M158" i="8"/>
  <c r="M383" i="8"/>
  <c r="E90" i="6"/>
  <c r="M239" i="8"/>
  <c r="Q239" i="8"/>
  <c r="Q80" i="8"/>
  <c r="Q243" i="8"/>
  <c r="Q244" i="8"/>
  <c r="Q157" i="8"/>
  <c r="E92" i="6"/>
  <c r="Q158" i="8"/>
  <c r="Q245" i="8"/>
  <c r="Q153" i="8"/>
  <c r="Q383" i="8"/>
  <c r="Q237" i="8"/>
  <c r="Q67" i="8"/>
  <c r="Q340" i="8" s="1"/>
  <c r="Q82" i="8"/>
  <c r="E74" i="6"/>
  <c r="Q373" i="8"/>
  <c r="Q385" i="8"/>
  <c r="AI357" i="8"/>
  <c r="AJ357" i="8" s="1"/>
  <c r="E91" i="6"/>
  <c r="O239" i="8"/>
  <c r="O244" i="8"/>
  <c r="O245" i="8"/>
  <c r="O383" i="8"/>
  <c r="O80" i="8"/>
  <c r="O342" i="8" s="1"/>
  <c r="O153" i="8"/>
  <c r="O157" i="8"/>
  <c r="O237" i="8"/>
  <c r="O243" i="8"/>
  <c r="O158" i="8"/>
  <c r="S82" i="8"/>
  <c r="E75" i="6"/>
  <c r="S67" i="8"/>
  <c r="S340" i="8" s="1"/>
  <c r="S385" i="8"/>
  <c r="S373" i="8"/>
  <c r="M385" i="8"/>
  <c r="M373" i="8"/>
  <c r="M82" i="8"/>
  <c r="M67" i="8"/>
  <c r="M340" i="8" s="1"/>
  <c r="E72" i="6"/>
  <c r="Q342" i="8" l="1"/>
  <c r="C41" i="5" s="1"/>
  <c r="M342" i="8"/>
  <c r="C39" i="5" s="1"/>
  <c r="U342" i="8"/>
  <c r="C43" i="5" s="1"/>
  <c r="S342" i="8"/>
  <c r="C42" i="5" s="1"/>
  <c r="E96" i="6"/>
  <c r="AI158" i="8"/>
  <c r="AI153" i="8"/>
  <c r="AI244" i="8"/>
  <c r="AI243" i="8"/>
  <c r="AI157" i="8"/>
  <c r="AI383" i="8"/>
  <c r="AI80" i="8"/>
  <c r="AI239" i="8"/>
  <c r="AI245" i="8"/>
  <c r="C18" i="5"/>
  <c r="AI385" i="8"/>
  <c r="E78" i="6"/>
  <c r="C40" i="5"/>
  <c r="C16" i="5"/>
  <c r="C17" i="5"/>
  <c r="C15" i="5"/>
  <c r="C19" i="5"/>
  <c r="AI82" i="8"/>
  <c r="AI67" i="8"/>
  <c r="K340" i="8"/>
  <c r="AI373" i="8"/>
  <c r="AI237" i="8"/>
  <c r="C14" i="5" l="1"/>
  <c r="C38" i="5"/>
  <c r="R118" i="2" l="1"/>
  <c r="R123" i="2"/>
  <c r="R121" i="2"/>
  <c r="R120" i="2" l="1"/>
  <c r="E124" i="2" l="1"/>
  <c r="I120" i="2" s="1"/>
  <c r="AA333" i="8" s="1"/>
  <c r="AA87" i="8" s="1"/>
  <c r="R119" i="2"/>
  <c r="T119" i="2" s="1"/>
  <c r="E81" i="2" s="1"/>
  <c r="I123" i="2"/>
  <c r="AG333" i="8" s="1"/>
  <c r="I121" i="2" l="1"/>
  <c r="AC333" i="8" s="1"/>
  <c r="AA68" i="8"/>
  <c r="K20" i="7" s="1"/>
  <c r="AA223" i="8"/>
  <c r="I122" i="2"/>
  <c r="AE333" i="8" s="1"/>
  <c r="AE87" i="8" s="1"/>
  <c r="AA374" i="8"/>
  <c r="AA389" i="8"/>
  <c r="I118" i="2"/>
  <c r="W333" i="8" s="1"/>
  <c r="AA246" i="8"/>
  <c r="K60" i="7" s="1"/>
  <c r="AA159" i="8"/>
  <c r="K47" i="7" s="1"/>
  <c r="I119" i="2"/>
  <c r="Y333" i="8" s="1"/>
  <c r="Y223" i="8" s="1"/>
  <c r="AE68" i="8"/>
  <c r="AG389" i="8"/>
  <c r="AG68" i="8"/>
  <c r="AG374" i="8"/>
  <c r="AG223" i="8"/>
  <c r="AG87" i="8"/>
  <c r="AG159" i="8"/>
  <c r="AG246" i="8"/>
  <c r="K25" i="7"/>
  <c r="AC246" i="8"/>
  <c r="AC374" i="8"/>
  <c r="AC389" i="8"/>
  <c r="AC68" i="8"/>
  <c r="AC159" i="8"/>
  <c r="AC87" i="8"/>
  <c r="AC223" i="8"/>
  <c r="AE389" i="8" l="1"/>
  <c r="I124" i="2"/>
  <c r="AE223" i="8"/>
  <c r="AE374" i="8"/>
  <c r="Y87" i="8"/>
  <c r="I25" i="7" s="1"/>
  <c r="Y68" i="8"/>
  <c r="I20" i="7" s="1"/>
  <c r="AE246" i="8"/>
  <c r="AE159" i="8"/>
  <c r="O47" i="7" s="1"/>
  <c r="Y389" i="8"/>
  <c r="Y246" i="8"/>
  <c r="I60" i="7" s="1"/>
  <c r="Y374" i="8"/>
  <c r="Y159" i="8"/>
  <c r="I47" i="7" s="1"/>
  <c r="W374" i="8"/>
  <c r="W389" i="8"/>
  <c r="AI333" i="8"/>
  <c r="AJ333" i="8" s="1"/>
  <c r="W223" i="8"/>
  <c r="W68" i="8"/>
  <c r="W246" i="8"/>
  <c r="W159" i="8"/>
  <c r="W87" i="8"/>
  <c r="O20" i="7"/>
  <c r="Q25" i="7"/>
  <c r="M25" i="7"/>
  <c r="Q60" i="7"/>
  <c r="O25" i="7"/>
  <c r="M20" i="7"/>
  <c r="O60" i="7"/>
  <c r="M47" i="7"/>
  <c r="M60" i="7"/>
  <c r="Q47" i="7"/>
  <c r="Q20" i="7"/>
  <c r="AI374" i="8" l="1"/>
  <c r="AI223" i="8"/>
  <c r="AI389" i="8"/>
  <c r="AI87" i="8"/>
  <c r="G25" i="7"/>
  <c r="E25" i="7" s="1"/>
  <c r="G60" i="7"/>
  <c r="AI246" i="8"/>
  <c r="G47" i="7"/>
  <c r="AI159" i="8"/>
  <c r="G20" i="7"/>
  <c r="AI68" i="8"/>
  <c r="E20" i="7" l="1"/>
  <c r="E47" i="7"/>
  <c r="E60" i="7"/>
  <c r="P62" i="2" l="1"/>
  <c r="R62" i="2" s="1"/>
  <c r="G81" i="2" s="1"/>
  <c r="M62" i="2"/>
  <c r="G83" i="2" l="1"/>
  <c r="I80" i="2" s="1"/>
  <c r="M66" i="2"/>
  <c r="P66" i="2"/>
  <c r="R66" i="2" s="1"/>
  <c r="M64" i="2" l="1"/>
  <c r="P64" i="2"/>
  <c r="R64" i="2" s="1"/>
  <c r="I81" i="2"/>
  <c r="Y331" i="8" s="1"/>
  <c r="W331" i="8"/>
  <c r="M63" i="2"/>
  <c r="P63" i="2"/>
  <c r="R63" i="2" s="1"/>
  <c r="E68" i="2"/>
  <c r="I63" i="2" l="1"/>
  <c r="AA330" i="8" s="1"/>
  <c r="AA253" i="8" s="1"/>
  <c r="I61" i="2"/>
  <c r="I64" i="2"/>
  <c r="AC330" i="8" s="1"/>
  <c r="AC252" i="8" s="1"/>
  <c r="I83" i="2"/>
  <c r="AI331" i="8"/>
  <c r="AJ331" i="8" s="1"/>
  <c r="W163" i="8"/>
  <c r="W250" i="8"/>
  <c r="W164" i="8"/>
  <c r="W249" i="8"/>
  <c r="Y163" i="8"/>
  <c r="I50" i="7" s="1"/>
  <c r="Y250" i="8"/>
  <c r="I64" i="7" s="1"/>
  <c r="Y249" i="8"/>
  <c r="I63" i="7" s="1"/>
  <c r="Y164" i="8"/>
  <c r="I51" i="7" s="1"/>
  <c r="I65" i="2"/>
  <c r="AE330" i="8" s="1"/>
  <c r="I62" i="2"/>
  <c r="Y330" i="8" s="1"/>
  <c r="I66" i="2"/>
  <c r="AG330" i="8" s="1"/>
  <c r="AC247" i="8" l="1"/>
  <c r="AA248" i="8"/>
  <c r="K62" i="7" s="1"/>
  <c r="AA72" i="8"/>
  <c r="AA379" i="8"/>
  <c r="AC254" i="8"/>
  <c r="AA254" i="8"/>
  <c r="AC248" i="8"/>
  <c r="M62" i="7" s="1"/>
  <c r="AC378" i="8"/>
  <c r="AC390" i="8"/>
  <c r="AC166" i="8"/>
  <c r="AA252" i="8"/>
  <c r="AA247" i="8"/>
  <c r="K61" i="7" s="1"/>
  <c r="AC88" i="8"/>
  <c r="AC342" i="8" s="1"/>
  <c r="AC379" i="8"/>
  <c r="AA88" i="8"/>
  <c r="AA342" i="8" s="1"/>
  <c r="AA390" i="8"/>
  <c r="AC73" i="8"/>
  <c r="M23" i="7" s="1"/>
  <c r="AC72" i="8"/>
  <c r="AC255" i="8"/>
  <c r="AC160" i="8"/>
  <c r="M48" i="7" s="1"/>
  <c r="AA166" i="8"/>
  <c r="AA162" i="8"/>
  <c r="K49" i="7" s="1"/>
  <c r="AA255" i="8"/>
  <c r="AA378" i="8"/>
  <c r="AC161" i="8"/>
  <c r="AC253" i="8"/>
  <c r="AC162" i="8"/>
  <c r="M49" i="7" s="1"/>
  <c r="AA161" i="8"/>
  <c r="AA160" i="8"/>
  <c r="K48" i="7" s="1"/>
  <c r="AA73" i="8"/>
  <c r="K23" i="7" s="1"/>
  <c r="M61" i="7"/>
  <c r="G63" i="7"/>
  <c r="E63" i="7" s="1"/>
  <c r="AI249" i="8"/>
  <c r="Y254" i="8"/>
  <c r="Y162" i="8"/>
  <c r="I49" i="7" s="1"/>
  <c r="Y379" i="8"/>
  <c r="Y166" i="8"/>
  <c r="Y378" i="8"/>
  <c r="Y88" i="8"/>
  <c r="Y342" i="8" s="1"/>
  <c r="Y247" i="8"/>
  <c r="Y72" i="8"/>
  <c r="Y161" i="8"/>
  <c r="Y248" i="8"/>
  <c r="I62" i="7" s="1"/>
  <c r="Y253" i="8"/>
  <c r="Y160" i="8"/>
  <c r="I48" i="7" s="1"/>
  <c r="Y73" i="8"/>
  <c r="I23" i="7" s="1"/>
  <c r="Y255" i="8"/>
  <c r="Y252" i="8"/>
  <c r="Y390" i="8"/>
  <c r="M22" i="7"/>
  <c r="G51" i="7"/>
  <c r="E51" i="7" s="1"/>
  <c r="AI164" i="8"/>
  <c r="AE254" i="8"/>
  <c r="AE248" i="8"/>
  <c r="O62" i="7" s="1"/>
  <c r="AE247" i="8"/>
  <c r="AE160" i="8"/>
  <c r="AE161" i="8"/>
  <c r="AE390" i="8"/>
  <c r="AE253" i="8"/>
  <c r="AE252" i="8"/>
  <c r="AE255" i="8"/>
  <c r="AE378" i="8"/>
  <c r="AE88" i="8"/>
  <c r="AE342" i="8" s="1"/>
  <c r="AE162" i="8"/>
  <c r="O49" i="7" s="1"/>
  <c r="AE72" i="8"/>
  <c r="AE379" i="8"/>
  <c r="AE73" i="8"/>
  <c r="O23" i="7" s="1"/>
  <c r="AE166" i="8"/>
  <c r="AI250" i="8"/>
  <c r="G64" i="7"/>
  <c r="E64" i="7" s="1"/>
  <c r="AG254" i="8"/>
  <c r="AG390" i="8"/>
  <c r="AG247" i="8"/>
  <c r="AG161" i="8"/>
  <c r="AG253" i="8"/>
  <c r="AG255" i="8"/>
  <c r="AG166" i="8"/>
  <c r="AG252" i="8"/>
  <c r="AG248" i="8"/>
  <c r="Q62" i="7" s="1"/>
  <c r="AG73" i="8"/>
  <c r="Q23" i="7" s="1"/>
  <c r="AG378" i="8"/>
  <c r="AG72" i="8"/>
  <c r="AG379" i="8"/>
  <c r="AG162" i="8"/>
  <c r="Q49" i="7" s="1"/>
  <c r="AG160" i="8"/>
  <c r="AG88" i="8"/>
  <c r="AG342" i="8" s="1"/>
  <c r="W330" i="8"/>
  <c r="I68" i="2"/>
  <c r="AI163" i="8"/>
  <c r="G50" i="7"/>
  <c r="E50" i="7" s="1"/>
  <c r="K22" i="7"/>
  <c r="AC340" i="8" l="1"/>
  <c r="C24" i="5" s="1"/>
  <c r="AA340" i="8"/>
  <c r="M26" i="7"/>
  <c r="K26" i="7"/>
  <c r="Q48" i="7"/>
  <c r="C47" i="5"/>
  <c r="C48" i="5"/>
  <c r="I22" i="7"/>
  <c r="Y340" i="8"/>
  <c r="W162" i="8"/>
  <c r="W254" i="8"/>
  <c r="AI254" i="8" s="1"/>
  <c r="AI330" i="8"/>
  <c r="AJ330" i="8" s="1"/>
  <c r="W160" i="8"/>
  <c r="W72" i="8"/>
  <c r="W255" i="8"/>
  <c r="AI255" i="8" s="1"/>
  <c r="W73" i="8"/>
  <c r="W378" i="8"/>
  <c r="AI378" i="8" s="1"/>
  <c r="W247" i="8"/>
  <c r="W248" i="8"/>
  <c r="W88" i="8"/>
  <c r="W342" i="8" s="1"/>
  <c r="W379" i="8"/>
  <c r="AI379" i="8" s="1"/>
  <c r="W253" i="8"/>
  <c r="AI253" i="8" s="1"/>
  <c r="W166" i="8"/>
  <c r="AI166" i="8" s="1"/>
  <c r="W252" i="8"/>
  <c r="AI252" i="8" s="1"/>
  <c r="W390" i="8"/>
  <c r="AI390" i="8" s="1"/>
  <c r="W161" i="8"/>
  <c r="AI161" i="8" s="1"/>
  <c r="O22" i="7"/>
  <c r="AE340" i="8"/>
  <c r="I61" i="7"/>
  <c r="C23" i="5"/>
  <c r="Q26" i="7"/>
  <c r="Q22" i="7"/>
  <c r="AG340" i="8"/>
  <c r="O48" i="7"/>
  <c r="I26" i="7"/>
  <c r="Q61" i="7"/>
  <c r="O26" i="7"/>
  <c r="O61" i="7"/>
  <c r="C25" i="5" l="1"/>
  <c r="G26" i="7"/>
  <c r="E26" i="7" s="1"/>
  <c r="AI88" i="8"/>
  <c r="G23" i="7"/>
  <c r="E23" i="7" s="1"/>
  <c r="AI73" i="8"/>
  <c r="C49" i="5"/>
  <c r="C46" i="5"/>
  <c r="C50" i="5"/>
  <c r="AI248" i="8"/>
  <c r="G62" i="7"/>
  <c r="E62" i="7" s="1"/>
  <c r="C26" i="5"/>
  <c r="AI247" i="8"/>
  <c r="G61" i="7"/>
  <c r="G22" i="7"/>
  <c r="AI72" i="8"/>
  <c r="W340" i="8"/>
  <c r="G49" i="7"/>
  <c r="E49" i="7" s="1"/>
  <c r="AI162" i="8"/>
  <c r="AI160" i="8"/>
  <c r="G48" i="7"/>
  <c r="C22" i="5"/>
  <c r="C45" i="5" l="1"/>
  <c r="C51" i="5" s="1"/>
  <c r="AI342" i="8"/>
  <c r="W343" i="8" s="1"/>
  <c r="E22" i="7"/>
  <c r="E48" i="7"/>
  <c r="C21" i="5"/>
  <c r="C27" i="5" s="1"/>
  <c r="AI340" i="8"/>
  <c r="W341" i="8" s="1"/>
  <c r="E61" i="7"/>
  <c r="K343" i="8" l="1"/>
  <c r="O341" i="8"/>
  <c r="U341" i="8"/>
  <c r="M341" i="8"/>
  <c r="S341" i="8"/>
  <c r="K341" i="8"/>
  <c r="Q341" i="8"/>
  <c r="AA341" i="8"/>
  <c r="AC341" i="8"/>
  <c r="AE341" i="8"/>
  <c r="AG341" i="8"/>
  <c r="Y341" i="8"/>
  <c r="Q343" i="8"/>
  <c r="U343" i="8"/>
  <c r="M343" i="8"/>
  <c r="O343" i="8"/>
  <c r="S343" i="8"/>
  <c r="AC343" i="8"/>
  <c r="AA343" i="8"/>
  <c r="AE343" i="8"/>
  <c r="AG343" i="8"/>
  <c r="Y343" i="8"/>
  <c r="K89" i="8" l="1"/>
  <c r="K79" i="8"/>
  <c r="K382" i="8"/>
  <c r="AI343" i="8"/>
  <c r="AJ343" i="8" s="1"/>
  <c r="K391" i="8"/>
  <c r="E38" i="5"/>
  <c r="K90" i="8"/>
  <c r="K392" i="8"/>
  <c r="AG391" i="8"/>
  <c r="E50" i="5"/>
  <c r="AG79" i="8"/>
  <c r="AG90" i="8"/>
  <c r="AG382" i="8"/>
  <c r="AG392" i="8"/>
  <c r="AG89" i="8"/>
  <c r="S392" i="8"/>
  <c r="S79" i="8"/>
  <c r="S382" i="8"/>
  <c r="S90" i="8"/>
  <c r="S391" i="8"/>
  <c r="E42" i="5"/>
  <c r="S89" i="8"/>
  <c r="U392" i="8"/>
  <c r="U382" i="8"/>
  <c r="U79" i="8"/>
  <c r="U89" i="8"/>
  <c r="E43" i="5"/>
  <c r="U90" i="8"/>
  <c r="U391" i="8"/>
  <c r="AG74" i="8"/>
  <c r="E26" i="5"/>
  <c r="AG168" i="8"/>
  <c r="AG256" i="8"/>
  <c r="AG257" i="8"/>
  <c r="AG381" i="8"/>
  <c r="AG61" i="8"/>
  <c r="AG167" i="8"/>
  <c r="AG75" i="8"/>
  <c r="AG369" i="8"/>
  <c r="AG380" i="8"/>
  <c r="Q61" i="8"/>
  <c r="Q257" i="8"/>
  <c r="Q380" i="8"/>
  <c r="Q168" i="8"/>
  <c r="Q256" i="8"/>
  <c r="Q167" i="8"/>
  <c r="Q381" i="8"/>
  <c r="Q74" i="8"/>
  <c r="Q369" i="8"/>
  <c r="E17" i="5"/>
  <c r="Q75" i="8"/>
  <c r="U257" i="8"/>
  <c r="U75" i="8"/>
  <c r="U168" i="8"/>
  <c r="U167" i="8"/>
  <c r="U380" i="8"/>
  <c r="U381" i="8"/>
  <c r="U61" i="8"/>
  <c r="U256" i="8"/>
  <c r="E19" i="5"/>
  <c r="U74" i="8"/>
  <c r="U369" i="8"/>
  <c r="AE79" i="8"/>
  <c r="AE90" i="8"/>
  <c r="AE391" i="8"/>
  <c r="E49" i="5"/>
  <c r="AE89" i="8"/>
  <c r="AE382" i="8"/>
  <c r="AE392" i="8"/>
  <c r="O382" i="8"/>
  <c r="O392" i="8"/>
  <c r="E40" i="5"/>
  <c r="O391" i="8"/>
  <c r="O90" i="8"/>
  <c r="O79" i="8"/>
  <c r="O89" i="8"/>
  <c r="Q89" i="8"/>
  <c r="Q79" i="8"/>
  <c r="Q382" i="8"/>
  <c r="Q392" i="8"/>
  <c r="Q391" i="8"/>
  <c r="E41" i="5"/>
  <c r="Q90" i="8"/>
  <c r="AE167" i="8"/>
  <c r="AE369" i="8"/>
  <c r="AE381" i="8"/>
  <c r="AE256" i="8"/>
  <c r="AE168" i="8"/>
  <c r="E25" i="5"/>
  <c r="AE61" i="8"/>
  <c r="AE74" i="8"/>
  <c r="AE380" i="8"/>
  <c r="AE75" i="8"/>
  <c r="AE257" i="8"/>
  <c r="K257" i="8"/>
  <c r="K75" i="8"/>
  <c r="K74" i="8"/>
  <c r="E14" i="5"/>
  <c r="AI341" i="8"/>
  <c r="AJ341" i="8" s="1"/>
  <c r="K380" i="8"/>
  <c r="K256" i="8"/>
  <c r="K167" i="8"/>
  <c r="K168" i="8"/>
  <c r="K369" i="8"/>
  <c r="K381" i="8"/>
  <c r="K61" i="8"/>
  <c r="O61" i="8"/>
  <c r="O257" i="8"/>
  <c r="E16" i="5"/>
  <c r="O381" i="8"/>
  <c r="O369" i="8"/>
  <c r="O74" i="8"/>
  <c r="O167" i="8"/>
  <c r="O380" i="8"/>
  <c r="O256" i="8"/>
  <c r="O75" i="8"/>
  <c r="O168" i="8"/>
  <c r="AA382" i="8"/>
  <c r="AA391" i="8"/>
  <c r="AA392" i="8"/>
  <c r="AA79" i="8"/>
  <c r="AA89" i="8"/>
  <c r="E47" i="5"/>
  <c r="AA90" i="8"/>
  <c r="W382" i="8"/>
  <c r="W391" i="8"/>
  <c r="W89" i="8"/>
  <c r="W392" i="8"/>
  <c r="W90" i="8"/>
  <c r="E45" i="5"/>
  <c r="W79" i="8"/>
  <c r="AC256" i="8"/>
  <c r="AC168" i="8"/>
  <c r="AC257" i="8"/>
  <c r="AC61" i="8"/>
  <c r="AC74" i="8"/>
  <c r="AC381" i="8"/>
  <c r="AC369" i="8"/>
  <c r="AC380" i="8"/>
  <c r="AC167" i="8"/>
  <c r="E24" i="5"/>
  <c r="AC75" i="8"/>
  <c r="S75" i="8"/>
  <c r="S381" i="8"/>
  <c r="S380" i="8"/>
  <c r="S74" i="8"/>
  <c r="S256" i="8"/>
  <c r="E18" i="5"/>
  <c r="S168" i="8"/>
  <c r="S61" i="8"/>
  <c r="S257" i="8"/>
  <c r="S167" i="8"/>
  <c r="S369" i="8"/>
  <c r="W168" i="8"/>
  <c r="W167" i="8"/>
  <c r="E21" i="5"/>
  <c r="W256" i="8"/>
  <c r="W369" i="8"/>
  <c r="W61" i="8"/>
  <c r="W75" i="8"/>
  <c r="W257" i="8"/>
  <c r="W74" i="8"/>
  <c r="W381" i="8"/>
  <c r="W380" i="8"/>
  <c r="Y89" i="8"/>
  <c r="Y90" i="8"/>
  <c r="Y382" i="8"/>
  <c r="Y391" i="8"/>
  <c r="E46" i="5"/>
  <c r="Y79" i="8"/>
  <c r="Y392" i="8"/>
  <c r="AC79" i="8"/>
  <c r="AC382" i="8"/>
  <c r="AC89" i="8"/>
  <c r="AC90" i="8"/>
  <c r="E48" i="5"/>
  <c r="AC392" i="8"/>
  <c r="AC391" i="8"/>
  <c r="M79" i="8"/>
  <c r="M392" i="8"/>
  <c r="M391" i="8"/>
  <c r="E39" i="5"/>
  <c r="M382" i="8"/>
  <c r="M89" i="8"/>
  <c r="M90" i="8"/>
  <c r="Y257" i="8"/>
  <c r="Y380" i="8"/>
  <c r="Y369" i="8"/>
  <c r="Y168" i="8"/>
  <c r="Y74" i="8"/>
  <c r="E22" i="5"/>
  <c r="Y75" i="8"/>
  <c r="Y167" i="8"/>
  <c r="Y169" i="8" s="1"/>
  <c r="Y381" i="8"/>
  <c r="Y256" i="8"/>
  <c r="Y61" i="8"/>
  <c r="AA168" i="8"/>
  <c r="AA256" i="8"/>
  <c r="AA75" i="8"/>
  <c r="AA257" i="8"/>
  <c r="AA74" i="8"/>
  <c r="AA167" i="8"/>
  <c r="AA61" i="8"/>
  <c r="AA369" i="8"/>
  <c r="AA381" i="8"/>
  <c r="E23" i="5"/>
  <c r="AA380" i="8"/>
  <c r="M74" i="8"/>
  <c r="M381" i="8"/>
  <c r="M256" i="8"/>
  <c r="M61" i="8"/>
  <c r="E15" i="5"/>
  <c r="M75" i="8"/>
  <c r="M380" i="8"/>
  <c r="M168" i="8"/>
  <c r="M257" i="8"/>
  <c r="M369" i="8"/>
  <c r="M167" i="8"/>
  <c r="Y76" i="8" l="1"/>
  <c r="AC258" i="8"/>
  <c r="W169" i="8"/>
  <c r="AG76" i="8"/>
  <c r="Q258" i="8"/>
  <c r="Y258" i="8"/>
  <c r="AA76" i="8"/>
  <c r="W91" i="8"/>
  <c r="AE258" i="8"/>
  <c r="M91" i="8"/>
  <c r="W76" i="8"/>
  <c r="AC76" i="8"/>
  <c r="O258" i="8"/>
  <c r="O76" i="8"/>
  <c r="O91" i="8"/>
  <c r="U258" i="8"/>
  <c r="U169" i="8"/>
  <c r="M76" i="8"/>
  <c r="AA91" i="8"/>
  <c r="AG169" i="8"/>
  <c r="Q76" i="8"/>
  <c r="AG258" i="8"/>
  <c r="U91" i="8"/>
  <c r="S91" i="8"/>
  <c r="M258" i="8"/>
  <c r="AA258" i="8"/>
  <c r="AC91" i="8"/>
  <c r="S169" i="8"/>
  <c r="AC169" i="8"/>
  <c r="AI369" i="8"/>
  <c r="AI380" i="8"/>
  <c r="AI75" i="8"/>
  <c r="AE169" i="8"/>
  <c r="AI392" i="8"/>
  <c r="AI168" i="8"/>
  <c r="AI257" i="8"/>
  <c r="AE91" i="8"/>
  <c r="AG91" i="8"/>
  <c r="AI90" i="8"/>
  <c r="AI382" i="8"/>
  <c r="S258" i="8"/>
  <c r="M169" i="8"/>
  <c r="AA169" i="8"/>
  <c r="Y91" i="8"/>
  <c r="S76" i="8"/>
  <c r="K76" i="8"/>
  <c r="AI61" i="8"/>
  <c r="K169" i="8"/>
  <c r="AI167" i="8"/>
  <c r="E27" i="5"/>
  <c r="AE76" i="8"/>
  <c r="Q91" i="8"/>
  <c r="U76" i="8"/>
  <c r="Q169" i="8"/>
  <c r="E51" i="5"/>
  <c r="AI79" i="8"/>
  <c r="K91" i="8"/>
  <c r="W258" i="8"/>
  <c r="AA93" i="8"/>
  <c r="O169" i="8"/>
  <c r="AI381" i="8"/>
  <c r="K258" i="8"/>
  <c r="AI256" i="8"/>
  <c r="AI74" i="8"/>
  <c r="AI391" i="8"/>
  <c r="AI89" i="8"/>
  <c r="Y93" i="8" l="1"/>
  <c r="AG93" i="8"/>
  <c r="M93" i="8"/>
  <c r="M344" i="8" s="1"/>
  <c r="AA344" i="8"/>
  <c r="Y344" i="8"/>
  <c r="AG344" i="8"/>
  <c r="O93" i="8"/>
  <c r="U93" i="8"/>
  <c r="W93" i="8"/>
  <c r="S93" i="8"/>
  <c r="AC93" i="8"/>
  <c r="Q93" i="8"/>
  <c r="AI258" i="8"/>
  <c r="AI169" i="8"/>
  <c r="K93" i="8"/>
  <c r="AI91" i="8"/>
  <c r="AI76" i="8"/>
  <c r="AE93" i="8"/>
  <c r="W344" i="8" l="1"/>
  <c r="U344" i="8"/>
  <c r="C70" i="5" s="1"/>
  <c r="S344" i="8"/>
  <c r="C69" i="5" s="1"/>
  <c r="Q344" i="8"/>
  <c r="C68" i="5" s="1"/>
  <c r="AE344" i="8"/>
  <c r="AC344" i="8"/>
  <c r="C75" i="5" s="1"/>
  <c r="O344" i="8"/>
  <c r="C67" i="5" s="1"/>
  <c r="K344" i="8"/>
  <c r="AI93" i="8"/>
  <c r="C66" i="5"/>
  <c r="C74" i="5"/>
  <c r="C73" i="5"/>
  <c r="C77" i="5"/>
  <c r="C72" i="5" l="1"/>
  <c r="C76" i="5"/>
  <c r="AI344" i="8"/>
  <c r="K345" i="8" s="1"/>
  <c r="C65" i="5"/>
  <c r="W345" i="8" l="1"/>
  <c r="K306" i="8"/>
  <c r="K195" i="8"/>
  <c r="K175" i="8"/>
  <c r="K278" i="8"/>
  <c r="K198" i="8"/>
  <c r="K279" i="8"/>
  <c r="K173" i="8"/>
  <c r="E65" i="5"/>
  <c r="K292" i="8"/>
  <c r="K263" i="8"/>
  <c r="K186" i="8"/>
  <c r="K224" i="8"/>
  <c r="K185" i="8"/>
  <c r="K262" i="8"/>
  <c r="K284" i="8"/>
  <c r="K179" i="8"/>
  <c r="K403" i="8"/>
  <c r="K190" i="8"/>
  <c r="K180" i="8"/>
  <c r="K136" i="8"/>
  <c r="K404" i="8"/>
  <c r="K178" i="8"/>
  <c r="K405" i="8"/>
  <c r="K135" i="8"/>
  <c r="K199" i="8"/>
  <c r="K266" i="8"/>
  <c r="K267" i="8"/>
  <c r="K308" i="8"/>
  <c r="K131" i="8"/>
  <c r="K142" i="8"/>
  <c r="K269" i="8"/>
  <c r="K402" i="8"/>
  <c r="K129" i="8"/>
  <c r="K141" i="8"/>
  <c r="K289" i="8"/>
  <c r="K268" i="8"/>
  <c r="K130" i="8"/>
  <c r="K132" i="8"/>
  <c r="K174" i="8"/>
  <c r="K264" i="8"/>
  <c r="K280" i="8"/>
  <c r="K265" i="8"/>
  <c r="K270" i="8"/>
  <c r="K184" i="8"/>
  <c r="K176" i="8"/>
  <c r="K137" i="8"/>
  <c r="K177" i="8"/>
  <c r="K128" i="8"/>
  <c r="K277" i="8"/>
  <c r="C78" i="5"/>
  <c r="O345" i="8"/>
  <c r="M345" i="8"/>
  <c r="Y345" i="8"/>
  <c r="AC345" i="8"/>
  <c r="S345" i="8"/>
  <c r="U345" i="8"/>
  <c r="AA345" i="8"/>
  <c r="Q345" i="8"/>
  <c r="AG345" i="8"/>
  <c r="AE345" i="8"/>
  <c r="AI345" i="8" l="1"/>
  <c r="AJ345" i="8" s="1"/>
  <c r="O292" i="8"/>
  <c r="O137" i="8"/>
  <c r="O176" i="8"/>
  <c r="O266" i="8"/>
  <c r="O279" i="8"/>
  <c r="O268" i="8"/>
  <c r="O280" i="8"/>
  <c r="O136" i="8"/>
  <c r="O264" i="8"/>
  <c r="O174" i="8"/>
  <c r="O267" i="8"/>
  <c r="E67" i="5"/>
  <c r="O289" i="8"/>
  <c r="O265" i="8"/>
  <c r="O184" i="8"/>
  <c r="O278" i="8"/>
  <c r="O270" i="8"/>
  <c r="O179" i="8"/>
  <c r="O262" i="8"/>
  <c r="O173" i="8"/>
  <c r="O224" i="8"/>
  <c r="O308" i="8"/>
  <c r="O198" i="8"/>
  <c r="O306" i="8"/>
  <c r="O277" i="8"/>
  <c r="O185" i="8"/>
  <c r="O269" i="8"/>
  <c r="O135" i="8"/>
  <c r="O402" i="8"/>
  <c r="O178" i="8"/>
  <c r="O130" i="8"/>
  <c r="O190" i="8"/>
  <c r="O192" i="8" s="1"/>
  <c r="O263" i="8"/>
  <c r="O186" i="8"/>
  <c r="O284" i="8"/>
  <c r="O286" i="8" s="1"/>
  <c r="O177" i="8"/>
  <c r="O132" i="8"/>
  <c r="O131" i="8"/>
  <c r="O175" i="8"/>
  <c r="O128" i="8"/>
  <c r="O142" i="8"/>
  <c r="O405" i="8"/>
  <c r="O199" i="8"/>
  <c r="O141" i="8"/>
  <c r="O403" i="8"/>
  <c r="O129" i="8"/>
  <c r="O404" i="8"/>
  <c r="O180" i="8"/>
  <c r="O195" i="8"/>
  <c r="Q176" i="8"/>
  <c r="Q186" i="8"/>
  <c r="Q403" i="8"/>
  <c r="Q279" i="8"/>
  <c r="Q402" i="8"/>
  <c r="Q142" i="8"/>
  <c r="Q195" i="8"/>
  <c r="Q129" i="8"/>
  <c r="E68" i="5"/>
  <c r="Q190" i="8"/>
  <c r="Q192" i="8" s="1"/>
  <c r="Q179" i="8"/>
  <c r="Q266" i="8"/>
  <c r="Q267" i="8"/>
  <c r="Q289" i="8"/>
  <c r="Q141" i="8"/>
  <c r="Q292" i="8"/>
  <c r="Q306" i="8"/>
  <c r="Q263" i="8"/>
  <c r="Q278" i="8"/>
  <c r="Q268" i="8"/>
  <c r="Q173" i="8"/>
  <c r="Q270" i="8"/>
  <c r="Q269" i="8"/>
  <c r="Q175" i="8"/>
  <c r="Q277" i="8"/>
  <c r="Q177" i="8"/>
  <c r="Q180" i="8"/>
  <c r="Q224" i="8"/>
  <c r="Q184" i="8"/>
  <c r="Q284" i="8"/>
  <c r="Q286" i="8" s="1"/>
  <c r="Q405" i="8"/>
  <c r="Q185" i="8"/>
  <c r="Q174" i="8"/>
  <c r="Q280" i="8"/>
  <c r="Q135" i="8"/>
  <c r="Q198" i="8"/>
  <c r="Q178" i="8"/>
  <c r="Q199" i="8"/>
  <c r="Q308" i="8"/>
  <c r="Q128" i="8"/>
  <c r="Q404" i="8"/>
  <c r="Q137" i="8"/>
  <c r="Q265" i="8"/>
  <c r="Q130" i="8"/>
  <c r="Q264" i="8"/>
  <c r="Q136" i="8"/>
  <c r="Q132" i="8"/>
  <c r="Q262" i="8"/>
  <c r="Q131" i="8"/>
  <c r="AC136" i="8"/>
  <c r="AC308" i="8"/>
  <c r="AC278" i="8"/>
  <c r="AC266" i="8"/>
  <c r="AC199" i="8"/>
  <c r="AC195" i="8"/>
  <c r="AC132" i="8"/>
  <c r="AC268" i="8"/>
  <c r="AC128" i="8"/>
  <c r="AC176" i="8"/>
  <c r="AC186" i="8"/>
  <c r="AC142" i="8"/>
  <c r="AC178" i="8"/>
  <c r="AC198" i="8"/>
  <c r="AC129" i="8"/>
  <c r="AC185" i="8"/>
  <c r="AC404" i="8"/>
  <c r="AC173" i="8"/>
  <c r="AC306" i="8"/>
  <c r="AC130" i="8"/>
  <c r="AC190" i="8"/>
  <c r="AC192" i="8" s="1"/>
  <c r="AC279" i="8"/>
  <c r="AC177" i="8"/>
  <c r="AC141" i="8"/>
  <c r="AC143" i="8" s="1"/>
  <c r="AC174" i="8"/>
  <c r="AC224" i="8"/>
  <c r="E75" i="5"/>
  <c r="AC264" i="8"/>
  <c r="AC131" i="8"/>
  <c r="AC269" i="8"/>
  <c r="AC280" i="8"/>
  <c r="AC289" i="8"/>
  <c r="AC137" i="8"/>
  <c r="AC262" i="8"/>
  <c r="AC403" i="8"/>
  <c r="AC405" i="8"/>
  <c r="AC277" i="8"/>
  <c r="AC402" i="8"/>
  <c r="AC270" i="8"/>
  <c r="AC175" i="8"/>
  <c r="AC184" i="8"/>
  <c r="AC135" i="8"/>
  <c r="AC267" i="8"/>
  <c r="AC292" i="8"/>
  <c r="AC263" i="8"/>
  <c r="M66" i="7" s="1"/>
  <c r="AC265" i="8"/>
  <c r="AC284" i="8"/>
  <c r="AC286" i="8" s="1"/>
  <c r="AC179" i="8"/>
  <c r="AC180" i="8"/>
  <c r="W306" i="8"/>
  <c r="W279" i="8"/>
  <c r="W224" i="8"/>
  <c r="E72" i="5"/>
  <c r="W289" i="8"/>
  <c r="W270" i="8"/>
  <c r="W173" i="8"/>
  <c r="W186" i="8"/>
  <c r="W137" i="8"/>
  <c r="W174" i="8"/>
  <c r="W404" i="8"/>
  <c r="W292" i="8"/>
  <c r="W277" i="8"/>
  <c r="W198" i="8"/>
  <c r="W128" i="8"/>
  <c r="W264" i="8"/>
  <c r="W308" i="8"/>
  <c r="W199" i="8"/>
  <c r="W175" i="8"/>
  <c r="W180" i="8"/>
  <c r="W141" i="8"/>
  <c r="W190" i="8"/>
  <c r="W192" i="8" s="1"/>
  <c r="W403" i="8"/>
  <c r="W266" i="8"/>
  <c r="W278" i="8"/>
  <c r="W135" i="8"/>
  <c r="W263" i="8"/>
  <c r="G66" i="7" s="1"/>
  <c r="W268" i="8"/>
  <c r="W185" i="8"/>
  <c r="W176" i="8"/>
  <c r="W265" i="8"/>
  <c r="W131" i="8"/>
  <c r="W195" i="8"/>
  <c r="W136" i="8"/>
  <c r="W262" i="8"/>
  <c r="W184" i="8"/>
  <c r="W130" i="8"/>
  <c r="W280" i="8"/>
  <c r="W129" i="8"/>
  <c r="W269" i="8"/>
  <c r="W284" i="8"/>
  <c r="W286" i="8" s="1"/>
  <c r="W132" i="8"/>
  <c r="W178" i="8"/>
  <c r="W179" i="8"/>
  <c r="W177" i="8"/>
  <c r="W402" i="8"/>
  <c r="W405" i="8"/>
  <c r="W142" i="8"/>
  <c r="W267" i="8"/>
  <c r="K187" i="8"/>
  <c r="K407" i="8"/>
  <c r="E69" i="5"/>
  <c r="S306" i="8"/>
  <c r="S198" i="8"/>
  <c r="S129" i="8"/>
  <c r="S280" i="8"/>
  <c r="S135" i="8"/>
  <c r="S137" i="8"/>
  <c r="S284" i="8"/>
  <c r="S286" i="8" s="1"/>
  <c r="S263" i="8"/>
  <c r="S130" i="8"/>
  <c r="S190" i="8"/>
  <c r="S192" i="8" s="1"/>
  <c r="S179" i="8"/>
  <c r="S270" i="8"/>
  <c r="S175" i="8"/>
  <c r="S136" i="8"/>
  <c r="S308" i="8"/>
  <c r="S269" i="8"/>
  <c r="S264" i="8"/>
  <c r="S279" i="8"/>
  <c r="S186" i="8"/>
  <c r="S289" i="8"/>
  <c r="S184" i="8"/>
  <c r="S142" i="8"/>
  <c r="S403" i="8"/>
  <c r="S266" i="8"/>
  <c r="S292" i="8"/>
  <c r="S131" i="8"/>
  <c r="S267" i="8"/>
  <c r="S199" i="8"/>
  <c r="S404" i="8"/>
  <c r="S268" i="8"/>
  <c r="S180" i="8"/>
  <c r="S278" i="8"/>
  <c r="S178" i="8"/>
  <c r="S195" i="8"/>
  <c r="S402" i="8"/>
  <c r="S277" i="8"/>
  <c r="S265" i="8"/>
  <c r="S141" i="8"/>
  <c r="S143" i="8" s="1"/>
  <c r="S224" i="8"/>
  <c r="S128" i="8"/>
  <c r="S173" i="8"/>
  <c r="S177" i="8"/>
  <c r="S174" i="8"/>
  <c r="S176" i="8"/>
  <c r="S132" i="8"/>
  <c r="S262" i="8"/>
  <c r="S405" i="8"/>
  <c r="S185" i="8"/>
  <c r="K286" i="8"/>
  <c r="K181" i="8"/>
  <c r="AG176" i="8"/>
  <c r="AG141" i="8"/>
  <c r="AG173" i="8"/>
  <c r="AG402" i="8"/>
  <c r="AG405" i="8"/>
  <c r="AG178" i="8"/>
  <c r="AG177" i="8"/>
  <c r="AG198" i="8"/>
  <c r="AG262" i="8"/>
  <c r="AG179" i="8"/>
  <c r="AG403" i="8"/>
  <c r="AG278" i="8"/>
  <c r="AG131" i="8"/>
  <c r="AG268" i="8"/>
  <c r="AG130" i="8"/>
  <c r="AG174" i="8"/>
  <c r="AG280" i="8"/>
  <c r="AG263" i="8"/>
  <c r="Q66" i="7" s="1"/>
  <c r="AG404" i="8"/>
  <c r="AG292" i="8"/>
  <c r="AG289" i="8"/>
  <c r="E77" i="5"/>
  <c r="AG306" i="8"/>
  <c r="AG175" i="8"/>
  <c r="AG264" i="8"/>
  <c r="AG186" i="8"/>
  <c r="AG132" i="8"/>
  <c r="AG269" i="8"/>
  <c r="AG224" i="8"/>
  <c r="AG136" i="8"/>
  <c r="AG284" i="8"/>
  <c r="AG286" i="8" s="1"/>
  <c r="AG135" i="8"/>
  <c r="AG308" i="8"/>
  <c r="AG270" i="8"/>
  <c r="AG199" i="8"/>
  <c r="AG184" i="8"/>
  <c r="AG267" i="8"/>
  <c r="AG142" i="8"/>
  <c r="AG129" i="8"/>
  <c r="AG277" i="8"/>
  <c r="AG180" i="8"/>
  <c r="AG137" i="8"/>
  <c r="AG266" i="8"/>
  <c r="AG190" i="8"/>
  <c r="AG192" i="8" s="1"/>
  <c r="AG279" i="8"/>
  <c r="AG185" i="8"/>
  <c r="AG265" i="8"/>
  <c r="AG195" i="8"/>
  <c r="AG128" i="8"/>
  <c r="AA403" i="8"/>
  <c r="AA267" i="8"/>
  <c r="AA269" i="8"/>
  <c r="AA137" i="8"/>
  <c r="AA265" i="8"/>
  <c r="AA179" i="8"/>
  <c r="AA404" i="8"/>
  <c r="AA266" i="8"/>
  <c r="AA195" i="8"/>
  <c r="AA132" i="8"/>
  <c r="AA284" i="8"/>
  <c r="AA286" i="8" s="1"/>
  <c r="AA263" i="8"/>
  <c r="K66" i="7" s="1"/>
  <c r="AA184" i="8"/>
  <c r="AA173" i="8"/>
  <c r="AA308" i="8"/>
  <c r="AA175" i="8"/>
  <c r="AA268" i="8"/>
  <c r="AA178" i="8"/>
  <c r="AA292" i="8"/>
  <c r="AA262" i="8"/>
  <c r="AA289" i="8"/>
  <c r="AA135" i="8"/>
  <c r="AA270" i="8"/>
  <c r="AA199" i="8"/>
  <c r="AA142" i="8"/>
  <c r="AA185" i="8"/>
  <c r="AA180" i="8"/>
  <c r="AA130" i="8"/>
  <c r="AA279" i="8"/>
  <c r="E74" i="5"/>
  <c r="AA277" i="8"/>
  <c r="AA198" i="8"/>
  <c r="AA129" i="8"/>
  <c r="AA306" i="8"/>
  <c r="AA278" i="8"/>
  <c r="AA136" i="8"/>
  <c r="AA128" i="8"/>
  <c r="AA405" i="8"/>
  <c r="AA190" i="8"/>
  <c r="AA192" i="8" s="1"/>
  <c r="AA141" i="8"/>
  <c r="AA174" i="8"/>
  <c r="AA186" i="8"/>
  <c r="AA176" i="8"/>
  <c r="AA177" i="8"/>
  <c r="AA280" i="8"/>
  <c r="AA224" i="8"/>
  <c r="AA264" i="8"/>
  <c r="AA131" i="8"/>
  <c r="AA402" i="8"/>
  <c r="Y137" i="8"/>
  <c r="Y141" i="8"/>
  <c r="Y267" i="8"/>
  <c r="Y284" i="8"/>
  <c r="Y286" i="8" s="1"/>
  <c r="Y174" i="8"/>
  <c r="Y266" i="8"/>
  <c r="Y190" i="8"/>
  <c r="Y192" i="8" s="1"/>
  <c r="Y199" i="8"/>
  <c r="Y279" i="8"/>
  <c r="Y185" i="8"/>
  <c r="Y131" i="8"/>
  <c r="Y128" i="8"/>
  <c r="E73" i="5"/>
  <c r="Y278" i="8"/>
  <c r="Y176" i="8"/>
  <c r="Y403" i="8"/>
  <c r="Y262" i="8"/>
  <c r="Y186" i="8"/>
  <c r="Y142" i="8"/>
  <c r="Y269" i="8"/>
  <c r="Y306" i="8"/>
  <c r="Y132" i="8"/>
  <c r="Y292" i="8"/>
  <c r="Y184" i="8"/>
  <c r="Y402" i="8"/>
  <c r="Y180" i="8"/>
  <c r="Y129" i="8"/>
  <c r="Y263" i="8"/>
  <c r="I66" i="7" s="1"/>
  <c r="Y268" i="8"/>
  <c r="Y404" i="8"/>
  <c r="Y198" i="8"/>
  <c r="Y178" i="8"/>
  <c r="Y173" i="8"/>
  <c r="Y135" i="8"/>
  <c r="Y175" i="8"/>
  <c r="Y179" i="8"/>
  <c r="Y177" i="8"/>
  <c r="Y136" i="8"/>
  <c r="Y289" i="8"/>
  <c r="Y277" i="8"/>
  <c r="Y270" i="8"/>
  <c r="Y195" i="8"/>
  <c r="Y405" i="8"/>
  <c r="Y308" i="8"/>
  <c r="Y130" i="8"/>
  <c r="Y224" i="8"/>
  <c r="Y265" i="8"/>
  <c r="Y280" i="8"/>
  <c r="Y264" i="8"/>
  <c r="AE278" i="8"/>
  <c r="AE177" i="8"/>
  <c r="AE132" i="8"/>
  <c r="AE269" i="8"/>
  <c r="AE284" i="8"/>
  <c r="AE286" i="8" s="1"/>
  <c r="AE403" i="8"/>
  <c r="AE306" i="8"/>
  <c r="AE173" i="8"/>
  <c r="AE136" i="8"/>
  <c r="AE308" i="8"/>
  <c r="AE186" i="8"/>
  <c r="AE404" i="8"/>
  <c r="AE277" i="8"/>
  <c r="AE141" i="8"/>
  <c r="AE128" i="8"/>
  <c r="AE402" i="8"/>
  <c r="AE265" i="8"/>
  <c r="AE279" i="8"/>
  <c r="AE180" i="8"/>
  <c r="AE264" i="8"/>
  <c r="AE185" i="8"/>
  <c r="AE190" i="8"/>
  <c r="AE192" i="8" s="1"/>
  <c r="AE130" i="8"/>
  <c r="AE176" i="8"/>
  <c r="AE405" i="8"/>
  <c r="AE198" i="8"/>
  <c r="AE178" i="8"/>
  <c r="AE179" i="8"/>
  <c r="AE131" i="8"/>
  <c r="AE266" i="8"/>
  <c r="AE184" i="8"/>
  <c r="AE142" i="8"/>
  <c r="AE267" i="8"/>
  <c r="AE137" i="8"/>
  <c r="AE135" i="8"/>
  <c r="AE289" i="8"/>
  <c r="AE270" i="8"/>
  <c r="AE262" i="8"/>
  <c r="AE199" i="8"/>
  <c r="AE224" i="8"/>
  <c r="AE292" i="8"/>
  <c r="AE174" i="8"/>
  <c r="AE175" i="8"/>
  <c r="AE268" i="8"/>
  <c r="E76" i="5"/>
  <c r="AE195" i="8"/>
  <c r="AE129" i="8"/>
  <c r="AE280" i="8"/>
  <c r="AE263" i="8"/>
  <c r="O66" i="7" s="1"/>
  <c r="U267" i="8"/>
  <c r="U264" i="8"/>
  <c r="U141" i="8"/>
  <c r="U177" i="8"/>
  <c r="U136" i="8"/>
  <c r="U405" i="8"/>
  <c r="U269" i="8"/>
  <c r="U184" i="8"/>
  <c r="U130" i="8"/>
  <c r="U306" i="8"/>
  <c r="U175" i="8"/>
  <c r="E70" i="5"/>
  <c r="U277" i="8"/>
  <c r="U199" i="8"/>
  <c r="U131" i="8"/>
  <c r="U224" i="8"/>
  <c r="U186" i="8"/>
  <c r="U403" i="8"/>
  <c r="U265" i="8"/>
  <c r="U178" i="8"/>
  <c r="U132" i="8"/>
  <c r="U173" i="8"/>
  <c r="U278" i="8"/>
  <c r="U129" i="8"/>
  <c r="U279" i="8"/>
  <c r="U402" i="8"/>
  <c r="U268" i="8"/>
  <c r="U270" i="8"/>
  <c r="U404" i="8"/>
  <c r="U289" i="8"/>
  <c r="U198" i="8"/>
  <c r="U128" i="8"/>
  <c r="U266" i="8"/>
  <c r="U174" i="8"/>
  <c r="U176" i="8"/>
  <c r="U292" i="8"/>
  <c r="U135" i="8"/>
  <c r="U195" i="8"/>
  <c r="U190" i="8"/>
  <c r="U192" i="8" s="1"/>
  <c r="U185" i="8"/>
  <c r="U308" i="8"/>
  <c r="U142" i="8"/>
  <c r="U284" i="8"/>
  <c r="U286" i="8" s="1"/>
  <c r="U180" i="8"/>
  <c r="U263" i="8"/>
  <c r="U280" i="8"/>
  <c r="U137" i="8"/>
  <c r="U262" i="8"/>
  <c r="U179" i="8"/>
  <c r="M269" i="8"/>
  <c r="M186" i="8"/>
  <c r="M404" i="8"/>
  <c r="M184" i="8"/>
  <c r="M137" i="8"/>
  <c r="M129" i="8"/>
  <c r="M263" i="8"/>
  <c r="M175" i="8"/>
  <c r="M198" i="8"/>
  <c r="M308" i="8"/>
  <c r="M267" i="8"/>
  <c r="M174" i="8"/>
  <c r="M178" i="8"/>
  <c r="M180" i="8"/>
  <c r="M131" i="8"/>
  <c r="M266" i="8"/>
  <c r="M173" i="8"/>
  <c r="M279" i="8"/>
  <c r="M306" i="8"/>
  <c r="M289" i="8"/>
  <c r="M177" i="8"/>
  <c r="M265" i="8"/>
  <c r="M199" i="8"/>
  <c r="M135" i="8"/>
  <c r="M277" i="8"/>
  <c r="M284" i="8"/>
  <c r="M286" i="8" s="1"/>
  <c r="M402" i="8"/>
  <c r="M195" i="8"/>
  <c r="M403" i="8"/>
  <c r="E66" i="5"/>
  <c r="M128" i="8"/>
  <c r="M185" i="8"/>
  <c r="M141" i="8"/>
  <c r="M268" i="8"/>
  <c r="M176" i="8"/>
  <c r="M136" i="8"/>
  <c r="M179" i="8"/>
  <c r="M130" i="8"/>
  <c r="M190" i="8"/>
  <c r="M192" i="8" s="1"/>
  <c r="M292" i="8"/>
  <c r="M405" i="8"/>
  <c r="M262" i="8"/>
  <c r="M270" i="8"/>
  <c r="M132" i="8"/>
  <c r="M278" i="8"/>
  <c r="M224" i="8"/>
  <c r="M142" i="8"/>
  <c r="M280" i="8"/>
  <c r="M264" i="8"/>
  <c r="K143" i="8"/>
  <c r="K192" i="8"/>
  <c r="K271" i="8"/>
  <c r="AI264" i="8" l="1"/>
  <c r="AI278" i="8"/>
  <c r="AI405" i="8"/>
  <c r="AI179" i="8"/>
  <c r="AI173" i="8"/>
  <c r="AI269" i="8"/>
  <c r="AI224" i="8"/>
  <c r="AI306" i="8"/>
  <c r="M54" i="7"/>
  <c r="W407" i="8"/>
  <c r="W346" i="8" s="1"/>
  <c r="AI265" i="8"/>
  <c r="AI266" i="8"/>
  <c r="AI280" i="8"/>
  <c r="AI132" i="8"/>
  <c r="AI292" i="8"/>
  <c r="AI136" i="8"/>
  <c r="AI185" i="8"/>
  <c r="AI195" i="8"/>
  <c r="AI289" i="8"/>
  <c r="AI174" i="8"/>
  <c r="AI175" i="8"/>
  <c r="AI128" i="8"/>
  <c r="AI199" i="8"/>
  <c r="AI131" i="8"/>
  <c r="K67" i="7"/>
  <c r="S271" i="8"/>
  <c r="S273" i="8" s="1"/>
  <c r="S348" i="8" s="1"/>
  <c r="C125" i="5" s="1"/>
  <c r="Q271" i="8"/>
  <c r="Q273" i="8" s="1"/>
  <c r="Q348" i="8" s="1"/>
  <c r="C124" i="5" s="1"/>
  <c r="AI270" i="8"/>
  <c r="AI176" i="8"/>
  <c r="AI267" i="8"/>
  <c r="AI130" i="8"/>
  <c r="AI268" i="8"/>
  <c r="AI308" i="8"/>
  <c r="AI186" i="8"/>
  <c r="I67" i="7"/>
  <c r="Q143" i="8"/>
  <c r="O143" i="8"/>
  <c r="AI263" i="8"/>
  <c r="O54" i="7"/>
  <c r="AE271" i="8"/>
  <c r="AE273" i="8" s="1"/>
  <c r="AE348" i="8" s="1"/>
  <c r="M407" i="8"/>
  <c r="M346" i="8" s="1"/>
  <c r="C95" i="5" s="1"/>
  <c r="AI404" i="8"/>
  <c r="AA143" i="8"/>
  <c r="E78" i="5"/>
  <c r="AI178" i="8"/>
  <c r="AI180" i="8"/>
  <c r="Y143" i="8"/>
  <c r="AI277" i="8"/>
  <c r="AE143" i="8"/>
  <c r="AI177" i="8"/>
  <c r="AI137" i="8"/>
  <c r="AI403" i="8"/>
  <c r="AI198" i="8"/>
  <c r="AI129" i="8"/>
  <c r="AI279" i="8"/>
  <c r="K273" i="8"/>
  <c r="K348" i="8" s="1"/>
  <c r="AI402" i="8"/>
  <c r="AI192" i="8"/>
  <c r="U271" i="8"/>
  <c r="U273" i="8" s="1"/>
  <c r="U348" i="8" s="1"/>
  <c r="U187" i="8"/>
  <c r="Y181" i="8"/>
  <c r="I53" i="7"/>
  <c r="Y407" i="8"/>
  <c r="Y271" i="8"/>
  <c r="Y273" i="8" s="1"/>
  <c r="Y348" i="8" s="1"/>
  <c r="I54" i="7"/>
  <c r="K53" i="7"/>
  <c r="AA181" i="8"/>
  <c r="Q67" i="7"/>
  <c r="AG271" i="8"/>
  <c r="AG273" i="8" s="1"/>
  <c r="AG348" i="8" s="1"/>
  <c r="S181" i="8"/>
  <c r="S187" i="8"/>
  <c r="AI135" i="8"/>
  <c r="W143" i="8"/>
  <c r="AC407" i="8"/>
  <c r="AC271" i="8"/>
  <c r="AC273" i="8" s="1"/>
  <c r="AC348" i="8" s="1"/>
  <c r="AC181" i="8"/>
  <c r="M53" i="7"/>
  <c r="O271" i="8"/>
  <c r="O273" i="8" s="1"/>
  <c r="O348" i="8" s="1"/>
  <c r="O187" i="8"/>
  <c r="AI190" i="8"/>
  <c r="AI141" i="8"/>
  <c r="M271" i="8"/>
  <c r="M273" i="8" s="1"/>
  <c r="M348" i="8" s="1"/>
  <c r="U143" i="8"/>
  <c r="O67" i="7"/>
  <c r="AE407" i="8"/>
  <c r="AE181" i="8"/>
  <c r="O53" i="7"/>
  <c r="O57" i="7" s="1"/>
  <c r="Y187" i="8"/>
  <c r="AA407" i="8"/>
  <c r="K54" i="7"/>
  <c r="AA187" i="8"/>
  <c r="AG187" i="8"/>
  <c r="Q54" i="7"/>
  <c r="AG407" i="8"/>
  <c r="AG346" i="8" s="1"/>
  <c r="AI284" i="8"/>
  <c r="W187" i="8"/>
  <c r="G67" i="7"/>
  <c r="AC187" i="8"/>
  <c r="M187" i="8"/>
  <c r="AG143" i="8"/>
  <c r="G54" i="7"/>
  <c r="O181" i="8"/>
  <c r="AI262" i="8"/>
  <c r="M143" i="8"/>
  <c r="M181" i="8"/>
  <c r="U407" i="8"/>
  <c r="U346" i="8" s="1"/>
  <c r="U181" i="8"/>
  <c r="AE187" i="8"/>
  <c r="AA271" i="8"/>
  <c r="AA273" i="8" s="1"/>
  <c r="AA348" i="8" s="1"/>
  <c r="Q53" i="7"/>
  <c r="AG181" i="8"/>
  <c r="K201" i="8"/>
  <c r="AI286" i="8"/>
  <c r="S407" i="8"/>
  <c r="K346" i="8"/>
  <c r="AI184" i="8"/>
  <c r="W271" i="8"/>
  <c r="W273" i="8" s="1"/>
  <c r="E66" i="7"/>
  <c r="W181" i="8"/>
  <c r="G53" i="7"/>
  <c r="M67" i="7"/>
  <c r="Q187" i="8"/>
  <c r="Q181" i="8"/>
  <c r="Q407" i="8"/>
  <c r="Q346" i="8" s="1"/>
  <c r="O407" i="8"/>
  <c r="O346" i="8" s="1"/>
  <c r="W348" i="8" l="1"/>
  <c r="C101" i="5"/>
  <c r="M57" i="7"/>
  <c r="Q57" i="7"/>
  <c r="AI143" i="8"/>
  <c r="AI181" i="8"/>
  <c r="AG201" i="8"/>
  <c r="E54" i="7"/>
  <c r="AI187" i="8"/>
  <c r="S201" i="8"/>
  <c r="AC201" i="8"/>
  <c r="C105" i="5"/>
  <c r="AE346" i="8"/>
  <c r="C133" i="5"/>
  <c r="C132" i="5"/>
  <c r="E53" i="7"/>
  <c r="G57" i="7"/>
  <c r="C98" i="5"/>
  <c r="S346" i="8"/>
  <c r="Y346" i="8"/>
  <c r="C102" i="5"/>
  <c r="C126" i="5"/>
  <c r="Q201" i="8"/>
  <c r="W201" i="8"/>
  <c r="C99" i="5"/>
  <c r="O201" i="8"/>
  <c r="C106" i="5"/>
  <c r="C123" i="5"/>
  <c r="AA201" i="8"/>
  <c r="I57" i="7"/>
  <c r="AI273" i="8"/>
  <c r="C97" i="5"/>
  <c r="AI407" i="8"/>
  <c r="AA346" i="8"/>
  <c r="C103" i="5"/>
  <c r="U201" i="8"/>
  <c r="C96" i="5"/>
  <c r="C94" i="5"/>
  <c r="M201" i="8"/>
  <c r="E67" i="7"/>
  <c r="AE201" i="8"/>
  <c r="C122" i="5"/>
  <c r="C104" i="5"/>
  <c r="AC346" i="8"/>
  <c r="K57" i="7"/>
  <c r="Y201" i="8"/>
  <c r="AI271" i="8"/>
  <c r="C128" i="5" l="1"/>
  <c r="H9" i="21"/>
  <c r="E57" i="7"/>
  <c r="AI201" i="8"/>
  <c r="C121" i="5"/>
  <c r="AI348" i="8"/>
  <c r="K349" i="8" s="1"/>
  <c r="C131" i="5"/>
  <c r="AI346" i="8"/>
  <c r="W347" i="8" s="1"/>
  <c r="F9" i="21"/>
  <c r="C129" i="5"/>
  <c r="C107" i="5"/>
  <c r="C130" i="5"/>
  <c r="W349" i="8" l="1"/>
  <c r="S347" i="8"/>
  <c r="S207" i="8" s="1"/>
  <c r="C134" i="5"/>
  <c r="Y349" i="8"/>
  <c r="Y296" i="8" s="1"/>
  <c r="AC349" i="8"/>
  <c r="AC311" i="8" s="1"/>
  <c r="AA349" i="8"/>
  <c r="E130" i="5" s="1"/>
  <c r="Y347" i="8"/>
  <c r="AC347" i="8"/>
  <c r="K296" i="8"/>
  <c r="K309" i="8"/>
  <c r="K276" i="8"/>
  <c r="K298" i="8"/>
  <c r="E121" i="5"/>
  <c r="K297" i="8"/>
  <c r="K311" i="8"/>
  <c r="Q349" i="8"/>
  <c r="S349" i="8"/>
  <c r="M349" i="8"/>
  <c r="AG349" i="8"/>
  <c r="O349" i="8"/>
  <c r="AE349" i="8"/>
  <c r="U349" i="8"/>
  <c r="M347" i="8"/>
  <c r="U347" i="8"/>
  <c r="Q347" i="8"/>
  <c r="AG347" i="8"/>
  <c r="K347" i="8"/>
  <c r="O347" i="8"/>
  <c r="AA347" i="8"/>
  <c r="AE347" i="8"/>
  <c r="E98" i="5" l="1"/>
  <c r="Y297" i="8"/>
  <c r="AC309" i="8"/>
  <c r="S133" i="8"/>
  <c r="Y298" i="8"/>
  <c r="S411" i="8"/>
  <c r="AC297" i="8"/>
  <c r="Y311" i="8"/>
  <c r="E129" i="5"/>
  <c r="Y309" i="8"/>
  <c r="AC296" i="8"/>
  <c r="E131" i="5"/>
  <c r="Y276" i="8"/>
  <c r="Y281" i="8" s="1"/>
  <c r="AC298" i="8"/>
  <c r="AC276" i="8"/>
  <c r="AC281" i="8" s="1"/>
  <c r="AA298" i="8"/>
  <c r="AA296" i="8"/>
  <c r="AA276" i="8"/>
  <c r="AA281" i="8" s="1"/>
  <c r="AA309" i="8"/>
  <c r="K68" i="7" s="1"/>
  <c r="K71" i="7" s="1"/>
  <c r="K74" i="7" s="1"/>
  <c r="AA311" i="8"/>
  <c r="AA297" i="8"/>
  <c r="U207" i="8"/>
  <c r="E99" i="5"/>
  <c r="U133" i="8"/>
  <c r="U411" i="8"/>
  <c r="K281" i="8"/>
  <c r="AA133" i="8"/>
  <c r="K41" i="7" s="1"/>
  <c r="E103" i="5"/>
  <c r="AA411" i="8"/>
  <c r="AA207" i="8"/>
  <c r="K42" i="7" s="1"/>
  <c r="E94" i="5"/>
  <c r="K133" i="8"/>
  <c r="K207" i="8"/>
  <c r="K411" i="8"/>
  <c r="AI347" i="8"/>
  <c r="AJ347" i="8" s="1"/>
  <c r="M207" i="8"/>
  <c r="M133" i="8"/>
  <c r="E95" i="5"/>
  <c r="M411" i="8"/>
  <c r="O309" i="8"/>
  <c r="O296" i="8"/>
  <c r="O298" i="8"/>
  <c r="O311" i="8"/>
  <c r="O276" i="8"/>
  <c r="O281" i="8" s="1"/>
  <c r="E123" i="5"/>
  <c r="O297" i="8"/>
  <c r="Q276" i="8"/>
  <c r="Q281" i="8" s="1"/>
  <c r="Q297" i="8"/>
  <c r="Q311" i="8"/>
  <c r="E124" i="5"/>
  <c r="Q309" i="8"/>
  <c r="Q298" i="8"/>
  <c r="Q296" i="8"/>
  <c r="K312" i="8"/>
  <c r="S309" i="8"/>
  <c r="S296" i="8"/>
  <c r="S298" i="8"/>
  <c r="S311" i="8"/>
  <c r="S276" i="8"/>
  <c r="S281" i="8" s="1"/>
  <c r="E125" i="5"/>
  <c r="S297" i="8"/>
  <c r="AG411" i="8"/>
  <c r="AG207" i="8"/>
  <c r="Q42" i="7" s="1"/>
  <c r="AG133" i="8"/>
  <c r="Q41" i="7" s="1"/>
  <c r="E106" i="5"/>
  <c r="W133" i="8"/>
  <c r="G41" i="7" s="1"/>
  <c r="E101" i="5"/>
  <c r="W411" i="8"/>
  <c r="W207" i="8"/>
  <c r="G42" i="7" s="1"/>
  <c r="AG311" i="8"/>
  <c r="AG296" i="8"/>
  <c r="AG309" i="8"/>
  <c r="AG276" i="8"/>
  <c r="AG281" i="8" s="1"/>
  <c r="AG298" i="8"/>
  <c r="AG297" i="8"/>
  <c r="E133" i="5"/>
  <c r="E128" i="5"/>
  <c r="W309" i="8"/>
  <c r="W311" i="8"/>
  <c r="W276" i="8"/>
  <c r="W281" i="8" s="1"/>
  <c r="W297" i="8"/>
  <c r="W298" i="8"/>
  <c r="W296" i="8"/>
  <c r="K300" i="8"/>
  <c r="AE411" i="8"/>
  <c r="AE207" i="8"/>
  <c r="O42" i="7" s="1"/>
  <c r="E105" i="5"/>
  <c r="AE133" i="8"/>
  <c r="O41" i="7" s="1"/>
  <c r="E96" i="5"/>
  <c r="O133" i="8"/>
  <c r="O207" i="8"/>
  <c r="O411" i="8"/>
  <c r="E132" i="5"/>
  <c r="AE298" i="8"/>
  <c r="AE311" i="8"/>
  <c r="AE309" i="8"/>
  <c r="AE276" i="8"/>
  <c r="AE281" i="8" s="1"/>
  <c r="AE296" i="8"/>
  <c r="AE297" i="8"/>
  <c r="AI349" i="8"/>
  <c r="AJ349" i="8" s="1"/>
  <c r="Y133" i="8"/>
  <c r="I41" i="7" s="1"/>
  <c r="E102" i="5"/>
  <c r="Y411" i="8"/>
  <c r="Y207" i="8"/>
  <c r="I42" i="7" s="1"/>
  <c r="Y300" i="8"/>
  <c r="I68" i="7"/>
  <c r="I71" i="7" s="1"/>
  <c r="I74" i="7" s="1"/>
  <c r="M68" i="7"/>
  <c r="M71" i="7" s="1"/>
  <c r="M74" i="7" s="1"/>
  <c r="AC312" i="8"/>
  <c r="Q133" i="8"/>
  <c r="E97" i="5"/>
  <c r="Q411" i="8"/>
  <c r="Q207" i="8"/>
  <c r="E126" i="5"/>
  <c r="U296" i="8"/>
  <c r="U276" i="8"/>
  <c r="U281" i="8" s="1"/>
  <c r="U297" i="8"/>
  <c r="U311" i="8"/>
  <c r="U309" i="8"/>
  <c r="U298" i="8"/>
  <c r="E122" i="5"/>
  <c r="M296" i="8"/>
  <c r="M276" i="8"/>
  <c r="M281" i="8" s="1"/>
  <c r="M298" i="8"/>
  <c r="M309" i="8"/>
  <c r="M311" i="8"/>
  <c r="M297" i="8"/>
  <c r="AC411" i="8"/>
  <c r="AC133" i="8"/>
  <c r="M41" i="7" s="1"/>
  <c r="AC207" i="8"/>
  <c r="M42" i="7" s="1"/>
  <c r="E104" i="5"/>
  <c r="Y312" i="8" l="1"/>
  <c r="AC300" i="8"/>
  <c r="AC302" i="8" s="1"/>
  <c r="AC314" i="8" s="1"/>
  <c r="AC350" i="8" s="1"/>
  <c r="AA300" i="8"/>
  <c r="AA302" i="8" s="1"/>
  <c r="Y302" i="8"/>
  <c r="AA312" i="8"/>
  <c r="E134" i="5"/>
  <c r="AI298" i="8"/>
  <c r="M312" i="8"/>
  <c r="O312" i="8"/>
  <c r="U312" i="8"/>
  <c r="M44" i="7"/>
  <c r="M77" i="7" s="1"/>
  <c r="M80" i="7" s="1"/>
  <c r="M84" i="7" s="1"/>
  <c r="AI296" i="8"/>
  <c r="Q44" i="7"/>
  <c r="AI297" i="8"/>
  <c r="Q300" i="8"/>
  <c r="Q302" i="8" s="1"/>
  <c r="AI311" i="8"/>
  <c r="E41" i="7"/>
  <c r="G44" i="7"/>
  <c r="AI411" i="8"/>
  <c r="I44" i="7"/>
  <c r="I77" i="7" s="1"/>
  <c r="I80" i="7" s="1"/>
  <c r="I84" i="7" s="1"/>
  <c r="K302" i="8"/>
  <c r="K314" i="8" s="1"/>
  <c r="K350" i="8" s="1"/>
  <c r="E42" i="7"/>
  <c r="O300" i="8"/>
  <c r="O302" i="8" s="1"/>
  <c r="AI207" i="8"/>
  <c r="K44" i="7"/>
  <c r="K77" i="7" s="1"/>
  <c r="K80" i="7" s="1"/>
  <c r="K84" i="7" s="1"/>
  <c r="G68" i="7"/>
  <c r="W312" i="8"/>
  <c r="O68" i="7"/>
  <c r="O71" i="7" s="1"/>
  <c r="O74" i="7" s="1"/>
  <c r="AE312" i="8"/>
  <c r="O44" i="7"/>
  <c r="Q68" i="7"/>
  <c r="Q71" i="7" s="1"/>
  <c r="Q74" i="7" s="1"/>
  <c r="AG312" i="8"/>
  <c r="S300" i="8"/>
  <c r="S302" i="8" s="1"/>
  <c r="AI133" i="8"/>
  <c r="AI276" i="8"/>
  <c r="AE300" i="8"/>
  <c r="AE302" i="8" s="1"/>
  <c r="U300" i="8"/>
  <c r="U302" i="8" s="1"/>
  <c r="M300" i="8"/>
  <c r="M302" i="8" s="1"/>
  <c r="W300" i="8"/>
  <c r="W302" i="8" s="1"/>
  <c r="AG300" i="8"/>
  <c r="AG302" i="8" s="1"/>
  <c r="S312" i="8"/>
  <c r="AI309" i="8"/>
  <c r="Q312" i="8"/>
  <c r="E107" i="5"/>
  <c r="AI281" i="8"/>
  <c r="Y314" i="8" l="1"/>
  <c r="Y350" i="8" s="1"/>
  <c r="C23" i="6" s="1"/>
  <c r="AA314" i="8"/>
  <c r="AA350" i="8" s="1"/>
  <c r="C24" i="6" s="1"/>
  <c r="O314" i="8"/>
  <c r="O350" i="8" s="1"/>
  <c r="C17" i="6" s="1"/>
  <c r="U314" i="8"/>
  <c r="U350" i="8" s="1"/>
  <c r="C20" i="6" s="1"/>
  <c r="M314" i="8"/>
  <c r="Q77" i="7"/>
  <c r="Q80" i="7" s="1"/>
  <c r="Q84" i="7" s="1"/>
  <c r="Q314" i="8"/>
  <c r="C15" i="6"/>
  <c r="AE314" i="8"/>
  <c r="AE350" i="8" s="1"/>
  <c r="C26" i="6" s="1"/>
  <c r="W314" i="8"/>
  <c r="AI300" i="8"/>
  <c r="C25" i="6"/>
  <c r="S314" i="8"/>
  <c r="AI312" i="8"/>
  <c r="AG314" i="8"/>
  <c r="O77" i="7"/>
  <c r="O80" i="7" s="1"/>
  <c r="O84" i="7" s="1"/>
  <c r="E68" i="7"/>
  <c r="E71" i="7" s="1"/>
  <c r="E74" i="7" s="1"/>
  <c r="G71" i="7"/>
  <c r="G74" i="7" s="1"/>
  <c r="G77" i="7" s="1"/>
  <c r="AI302" i="8"/>
  <c r="E44" i="7"/>
  <c r="J36" i="11" l="1"/>
  <c r="F36" i="11"/>
  <c r="W350" i="8"/>
  <c r="L36" i="11"/>
  <c r="L81" i="11" s="1"/>
  <c r="Q350" i="8"/>
  <c r="N36" i="11"/>
  <c r="N81" i="11" s="1"/>
  <c r="S350" i="8"/>
  <c r="C19" i="6" s="1"/>
  <c r="P36" i="11"/>
  <c r="AG350" i="8"/>
  <c r="C27" i="6" s="1"/>
  <c r="H36" i="11"/>
  <c r="M350" i="8"/>
  <c r="C16" i="6" s="1"/>
  <c r="G80" i="7"/>
  <c r="G84" i="7" s="1"/>
  <c r="E77" i="7"/>
  <c r="E80" i="7" s="1"/>
  <c r="AI314" i="8"/>
  <c r="F81" i="11" l="1"/>
  <c r="C22" i="6"/>
  <c r="P81" i="11"/>
  <c r="AI350" i="8"/>
  <c r="Q351" i="8" s="1"/>
  <c r="Q205" i="8" s="1"/>
  <c r="J81" i="11"/>
  <c r="H81" i="11"/>
  <c r="D36" i="11"/>
  <c r="F43" i="11" s="1"/>
  <c r="C18" i="6"/>
  <c r="W351" i="8" l="1"/>
  <c r="W217" i="8" s="1"/>
  <c r="C29" i="6"/>
  <c r="E19" i="6" s="1"/>
  <c r="AA351" i="8"/>
  <c r="AA215" i="8" s="1"/>
  <c r="Q209" i="8"/>
  <c r="Q217" i="8"/>
  <c r="F15" i="21" s="1"/>
  <c r="AE351" i="8"/>
  <c r="AE205" i="8" s="1"/>
  <c r="F27" i="11"/>
  <c r="D81" i="11"/>
  <c r="N88" i="11" s="1"/>
  <c r="N72" i="11" s="1"/>
  <c r="E18" i="6"/>
  <c r="J43" i="11"/>
  <c r="J27" i="11" s="1"/>
  <c r="U351" i="8"/>
  <c r="U215" i="8" s="1"/>
  <c r="Q215" i="8"/>
  <c r="F13" i="21" s="1"/>
  <c r="O351" i="8"/>
  <c r="O215" i="8" s="1"/>
  <c r="S351" i="8"/>
  <c r="S217" i="8" s="1"/>
  <c r="H15" i="21" s="1"/>
  <c r="AC351" i="8"/>
  <c r="AC217" i="8" s="1"/>
  <c r="K351" i="8"/>
  <c r="K209" i="8" s="1"/>
  <c r="Q36" i="11"/>
  <c r="AG351" i="8"/>
  <c r="E27" i="6" s="1"/>
  <c r="N43" i="11"/>
  <c r="N27" i="11" s="1"/>
  <c r="M351" i="8"/>
  <c r="M205" i="8" s="1"/>
  <c r="Y351" i="8"/>
  <c r="E23" i="6" s="1"/>
  <c r="O43" i="11"/>
  <c r="P43" i="11"/>
  <c r="P27" i="11" s="1"/>
  <c r="L43" i="11"/>
  <c r="L27" i="11" s="1"/>
  <c r="H43" i="11"/>
  <c r="H27" i="11" s="1"/>
  <c r="E24" i="6" l="1"/>
  <c r="AA217" i="8"/>
  <c r="AA205" i="8"/>
  <c r="AA209" i="8"/>
  <c r="L88" i="11"/>
  <c r="L72" i="11" s="1"/>
  <c r="F88" i="11"/>
  <c r="F72" i="11" s="1"/>
  <c r="AE209" i="8"/>
  <c r="E26" i="6"/>
  <c r="AE217" i="8"/>
  <c r="AC215" i="8"/>
  <c r="Q81" i="11"/>
  <c r="S215" i="8"/>
  <c r="H13" i="21" s="1"/>
  <c r="S209" i="8"/>
  <c r="S205" i="8"/>
  <c r="Y205" i="8"/>
  <c r="AE215" i="8"/>
  <c r="AC205" i="8"/>
  <c r="U209" i="8"/>
  <c r="U205" i="8"/>
  <c r="J88" i="11"/>
  <c r="J72" i="11" s="1"/>
  <c r="H88" i="11"/>
  <c r="H72" i="11" s="1"/>
  <c r="P88" i="11"/>
  <c r="P72" i="11" s="1"/>
  <c r="W215" i="8"/>
  <c r="E16" i="6"/>
  <c r="U217" i="8"/>
  <c r="AG217" i="8"/>
  <c r="O217" i="8"/>
  <c r="E17" i="6"/>
  <c r="Y217" i="8"/>
  <c r="O209" i="8"/>
  <c r="O205" i="8"/>
  <c r="Y209" i="8"/>
  <c r="W205" i="8"/>
  <c r="E22" i="6"/>
  <c r="W209" i="8"/>
  <c r="E25" i="6"/>
  <c r="AC209" i="8"/>
  <c r="E20" i="6"/>
  <c r="K217" i="8"/>
  <c r="Q352" i="8"/>
  <c r="C45" i="6" s="1"/>
  <c r="K215" i="8"/>
  <c r="E15" i="6"/>
  <c r="K205" i="8"/>
  <c r="AG215" i="8"/>
  <c r="AG205" i="8"/>
  <c r="AG209" i="8"/>
  <c r="M209" i="8"/>
  <c r="M217" i="8"/>
  <c r="M215" i="8"/>
  <c r="Y215" i="8"/>
  <c r="AI351" i="8"/>
  <c r="AJ351" i="8" s="1"/>
  <c r="Q27" i="11"/>
  <c r="Q43" i="11"/>
  <c r="AA352" i="8" l="1"/>
  <c r="C51" i="6" s="1"/>
  <c r="AE352" i="8"/>
  <c r="C53" i="6" s="1"/>
  <c r="AC352" i="8"/>
  <c r="C52" i="6" s="1"/>
  <c r="S352" i="8"/>
  <c r="C46" i="6" s="1"/>
  <c r="U352" i="8"/>
  <c r="C47" i="6" s="1"/>
  <c r="Q88" i="11"/>
  <c r="Q72" i="11"/>
  <c r="O352" i="8"/>
  <c r="C44" i="6" s="1"/>
  <c r="Y352" i="8"/>
  <c r="C50" i="6" s="1"/>
  <c r="AI205" i="8"/>
  <c r="W352" i="8"/>
  <c r="K352" i="8"/>
  <c r="C42" i="6" s="1"/>
  <c r="E29" i="6"/>
  <c r="AI209" i="8"/>
  <c r="AG352" i="8"/>
  <c r="C54" i="6" s="1"/>
  <c r="M352" i="8"/>
  <c r="C43" i="6" s="1"/>
  <c r="AI217" i="8"/>
  <c r="AI215" i="8"/>
  <c r="C49" i="6" l="1"/>
  <c r="C56" i="6" s="1"/>
  <c r="AI352" i="8"/>
  <c r="Y353" i="8" s="1"/>
  <c r="E50" i="6" s="1"/>
  <c r="W353" i="8" l="1"/>
  <c r="U353" i="8"/>
  <c r="U134" i="8" s="1"/>
  <c r="U138" i="8" s="1"/>
  <c r="U145" i="8" s="1"/>
  <c r="U147" i="8" s="1"/>
  <c r="S353" i="8"/>
  <c r="S208" i="8" s="1"/>
  <c r="AA353" i="8"/>
  <c r="AA210" i="8" s="1"/>
  <c r="K353" i="8"/>
  <c r="K134" i="8" s="1"/>
  <c r="AG353" i="8"/>
  <c r="AG208" i="8" s="1"/>
  <c r="O353" i="8"/>
  <c r="O226" i="8" s="1"/>
  <c r="O227" i="8" s="1"/>
  <c r="AE353" i="8"/>
  <c r="AE134" i="8" s="1"/>
  <c r="AE138" i="8" s="1"/>
  <c r="AE145" i="8" s="1"/>
  <c r="AE147" i="8" s="1"/>
  <c r="Y206" i="8"/>
  <c r="Y208" i="8"/>
  <c r="AC353" i="8"/>
  <c r="AC208" i="8" s="1"/>
  <c r="M353" i="8"/>
  <c r="M226" i="8" s="1"/>
  <c r="M227" i="8" s="1"/>
  <c r="Q353" i="8"/>
  <c r="Q134" i="8" s="1"/>
  <c r="Q138" i="8" s="1"/>
  <c r="Q145" i="8" s="1"/>
  <c r="Q147" i="8" s="1"/>
  <c r="Y226" i="8"/>
  <c r="Y227" i="8" s="1"/>
  <c r="Y134" i="8"/>
  <c r="Y138" i="8" s="1"/>
  <c r="Y145" i="8" s="1"/>
  <c r="Y147" i="8" s="1"/>
  <c r="Y210" i="8"/>
  <c r="E49" i="6"/>
  <c r="U210" i="8"/>
  <c r="U206" i="8"/>
  <c r="U226" i="8"/>
  <c r="U227" i="8" s="1"/>
  <c r="U208" i="8"/>
  <c r="AG206" i="8"/>
  <c r="AG134" i="8"/>
  <c r="AG138" i="8" s="1"/>
  <c r="AG145" i="8" s="1"/>
  <c r="AG147" i="8" s="1"/>
  <c r="AG210" i="8"/>
  <c r="AG226" i="8"/>
  <c r="AG227" i="8" s="1"/>
  <c r="E54" i="6"/>
  <c r="H19" i="11" l="1"/>
  <c r="E47" i="6"/>
  <c r="S134" i="8"/>
  <c r="S138" i="8" s="1"/>
  <c r="S145" i="8" s="1"/>
  <c r="S147" i="8" s="1"/>
  <c r="AC210" i="8"/>
  <c r="AC226" i="8"/>
  <c r="AC227" i="8" s="1"/>
  <c r="E46" i="6"/>
  <c r="Q210" i="8"/>
  <c r="S210" i="8"/>
  <c r="AA206" i="8"/>
  <c r="AC134" i="8"/>
  <c r="AC138" i="8" s="1"/>
  <c r="AC145" i="8" s="1"/>
  <c r="AC147" i="8" s="1"/>
  <c r="O134" i="8"/>
  <c r="O138" i="8" s="1"/>
  <c r="O145" i="8" s="1"/>
  <c r="O147" i="8" s="1"/>
  <c r="AC206" i="8"/>
  <c r="AC211" i="8" s="1"/>
  <c r="E52" i="6"/>
  <c r="S206" i="8"/>
  <c r="O206" i="8"/>
  <c r="S226" i="8"/>
  <c r="S227" i="8" s="1"/>
  <c r="E44" i="6"/>
  <c r="M210" i="8"/>
  <c r="AA208" i="8"/>
  <c r="M134" i="8"/>
  <c r="M138" i="8" s="1"/>
  <c r="M145" i="8" s="1"/>
  <c r="M147" i="8" s="1"/>
  <c r="AA226" i="8"/>
  <c r="AA227" i="8" s="1"/>
  <c r="J19" i="11" s="1"/>
  <c r="E51" i="6"/>
  <c r="AE208" i="8"/>
  <c r="AA134" i="8"/>
  <c r="AA138" i="8" s="1"/>
  <c r="AA145" i="8" s="1"/>
  <c r="AA147" i="8" s="1"/>
  <c r="E53" i="6"/>
  <c r="E43" i="6"/>
  <c r="M206" i="8"/>
  <c r="M208" i="8"/>
  <c r="AE226" i="8"/>
  <c r="AE227" i="8" s="1"/>
  <c r="K210" i="8"/>
  <c r="K206" i="8"/>
  <c r="E45" i="6"/>
  <c r="Q208" i="8"/>
  <c r="Q206" i="8"/>
  <c r="Q226" i="8"/>
  <c r="Q227" i="8" s="1"/>
  <c r="E42" i="6"/>
  <c r="K226" i="8"/>
  <c r="AI353" i="8"/>
  <c r="AJ353" i="8" s="1"/>
  <c r="W226" i="8"/>
  <c r="W227" i="8" s="1"/>
  <c r="K208" i="8"/>
  <c r="W134" i="8"/>
  <c r="W138" i="8" s="1"/>
  <c r="W145" i="8" s="1"/>
  <c r="W147" i="8" s="1"/>
  <c r="AE206" i="8"/>
  <c r="AE210" i="8"/>
  <c r="W208" i="8"/>
  <c r="Y211" i="8"/>
  <c r="Y213" i="8" s="1"/>
  <c r="Y220" i="8" s="1"/>
  <c r="Y230" i="8" s="1"/>
  <c r="X59" i="10" s="1"/>
  <c r="AB59" i="10" s="1"/>
  <c r="I10" i="7" s="1"/>
  <c r="I14" i="7" s="1"/>
  <c r="O210" i="8"/>
  <c r="W206" i="8"/>
  <c r="O208" i="8"/>
  <c r="W210" i="8"/>
  <c r="U211" i="8"/>
  <c r="U213" i="8" s="1"/>
  <c r="H21" i="11"/>
  <c r="H112" i="11"/>
  <c r="H114" i="11" s="1"/>
  <c r="H64" i="11"/>
  <c r="AG211" i="8"/>
  <c r="AG213" i="8" s="1"/>
  <c r="AG220" i="8" s="1"/>
  <c r="AG230" i="8" s="1"/>
  <c r="X63" i="10" s="1"/>
  <c r="AJ63" i="10" s="1"/>
  <c r="K138" i="8"/>
  <c r="P19" i="11"/>
  <c r="L19" i="11" l="1"/>
  <c r="L112" i="11" s="1"/>
  <c r="L114" i="11" s="1"/>
  <c r="AA211" i="8"/>
  <c r="AA213" i="8" s="1"/>
  <c r="AA220" i="8" s="1"/>
  <c r="AA230" i="8" s="1"/>
  <c r="X60" i="10" s="1"/>
  <c r="AD60" i="10" s="1"/>
  <c r="S211" i="8"/>
  <c r="H11" i="21" s="1"/>
  <c r="H17" i="21" s="1"/>
  <c r="H19" i="21" s="1"/>
  <c r="H23" i="21" s="1"/>
  <c r="AC213" i="8"/>
  <c r="AC220" i="8" s="1"/>
  <c r="AC230" i="8" s="1"/>
  <c r="X61" i="10" s="1"/>
  <c r="AF61" i="10" s="1"/>
  <c r="AF64" i="10" s="1"/>
  <c r="K211" i="8"/>
  <c r="N19" i="11"/>
  <c r="N64" i="11" s="1"/>
  <c r="Q211" i="8"/>
  <c r="F11" i="21" s="1"/>
  <c r="F17" i="21" s="1"/>
  <c r="F19" i="21" s="1"/>
  <c r="F23" i="21" s="1"/>
  <c r="E56" i="6"/>
  <c r="M211" i="8"/>
  <c r="M213" i="8" s="1"/>
  <c r="M220" i="8" s="1"/>
  <c r="M230" i="8" s="1"/>
  <c r="X50" i="10" s="1"/>
  <c r="AB50" i="10" s="1"/>
  <c r="AB55" i="10" s="1"/>
  <c r="AI226" i="8"/>
  <c r="AB64" i="10"/>
  <c r="K227" i="8"/>
  <c r="AI227" i="8" s="1"/>
  <c r="O211" i="8"/>
  <c r="O213" i="8" s="1"/>
  <c r="AI134" i="8"/>
  <c r="AE211" i="8"/>
  <c r="AE213" i="8" s="1"/>
  <c r="AE220" i="8" s="1"/>
  <c r="AE230" i="8" s="1"/>
  <c r="X62" i="10" s="1"/>
  <c r="AH62" i="10" s="1"/>
  <c r="O10" i="7" s="1"/>
  <c r="O14" i="7" s="1"/>
  <c r="W211" i="8"/>
  <c r="W213" i="8" s="1"/>
  <c r="W220" i="8" s="1"/>
  <c r="W230" i="8" s="1"/>
  <c r="X58" i="10" s="1"/>
  <c r="Z58" i="10" s="1"/>
  <c r="AI210" i="8"/>
  <c r="AI206" i="8"/>
  <c r="AI208" i="8"/>
  <c r="L64" i="11"/>
  <c r="L153" i="11" s="1"/>
  <c r="L155" i="11" s="1"/>
  <c r="P64" i="11"/>
  <c r="P21" i="11"/>
  <c r="P112" i="11"/>
  <c r="P114" i="11" s="1"/>
  <c r="AJ64" i="10"/>
  <c r="Q10" i="7"/>
  <c r="Q14" i="7" s="1"/>
  <c r="AI138" i="8"/>
  <c r="K145" i="8"/>
  <c r="H66" i="11"/>
  <c r="H153" i="11"/>
  <c r="H155" i="11" s="1"/>
  <c r="J21" i="11"/>
  <c r="J112" i="11"/>
  <c r="J114" i="11" s="1"/>
  <c r="J64" i="11"/>
  <c r="N21" i="11"/>
  <c r="P23" i="11"/>
  <c r="U220" i="8"/>
  <c r="U230" i="8" s="1"/>
  <c r="X54" i="10" s="1"/>
  <c r="AJ54" i="10" s="1"/>
  <c r="AJ55" i="10" s="1"/>
  <c r="S213" i="8" l="1"/>
  <c r="N23" i="11" s="1"/>
  <c r="N25" i="11" s="1"/>
  <c r="N29" i="11" s="1"/>
  <c r="L21" i="11"/>
  <c r="J23" i="11"/>
  <c r="J25" i="11" s="1"/>
  <c r="J29" i="11" s="1"/>
  <c r="F19" i="11"/>
  <c r="F112" i="11" s="1"/>
  <c r="F114" i="11" s="1"/>
  <c r="H23" i="11"/>
  <c r="H25" i="11" s="1"/>
  <c r="H29" i="11" s="1"/>
  <c r="M10" i="7"/>
  <c r="M14" i="7" s="1"/>
  <c r="N112" i="11"/>
  <c r="N114" i="11" s="1"/>
  <c r="Q213" i="8"/>
  <c r="L23" i="11" s="1"/>
  <c r="AB67" i="10"/>
  <c r="AB73" i="10" s="1"/>
  <c r="D18" i="10" s="1"/>
  <c r="K10" i="7"/>
  <c r="K14" i="7" s="1"/>
  <c r="AD64" i="10"/>
  <c r="O220" i="8"/>
  <c r="O230" i="8" s="1"/>
  <c r="X51" i="10" s="1"/>
  <c r="AD51" i="10" s="1"/>
  <c r="AD55" i="10" s="1"/>
  <c r="AH64" i="10"/>
  <c r="X64" i="10"/>
  <c r="L66" i="11"/>
  <c r="AI211" i="8"/>
  <c r="AI145" i="8"/>
  <c r="K147" i="8"/>
  <c r="P25" i="11"/>
  <c r="P29" i="11" s="1"/>
  <c r="G10" i="7"/>
  <c r="Z64" i="10"/>
  <c r="N66" i="11"/>
  <c r="N153" i="11"/>
  <c r="N155" i="11" s="1"/>
  <c r="J153" i="11"/>
  <c r="J155" i="11" s="1"/>
  <c r="J66" i="11"/>
  <c r="P153" i="11"/>
  <c r="P155" i="11" s="1"/>
  <c r="P66" i="11"/>
  <c r="AJ67" i="10"/>
  <c r="AJ73" i="10" s="1"/>
  <c r="D26" i="10" s="1"/>
  <c r="P68" i="11"/>
  <c r="S220" i="8" l="1"/>
  <c r="S230" i="8" s="1"/>
  <c r="X53" i="10" s="1"/>
  <c r="AH53" i="10" s="1"/>
  <c r="AH55" i="10" s="1"/>
  <c r="AH67" i="10" s="1"/>
  <c r="AH73" i="10" s="1"/>
  <c r="D24" i="10" s="1"/>
  <c r="J68" i="11"/>
  <c r="D19" i="11"/>
  <c r="D112" i="11" s="1"/>
  <c r="F64" i="11"/>
  <c r="F66" i="11" s="1"/>
  <c r="F21" i="11"/>
  <c r="H68" i="11"/>
  <c r="H70" i="11" s="1"/>
  <c r="H74" i="11" s="1"/>
  <c r="Q220" i="8"/>
  <c r="Q230" i="8" s="1"/>
  <c r="X52" i="10" s="1"/>
  <c r="AF52" i="10" s="1"/>
  <c r="AF55" i="10" s="1"/>
  <c r="AF67" i="10" s="1"/>
  <c r="AF73" i="10" s="1"/>
  <c r="D22" i="10" s="1"/>
  <c r="AD67" i="10"/>
  <c r="AD73" i="10" s="1"/>
  <c r="D20" i="10" s="1"/>
  <c r="J70" i="11"/>
  <c r="J74" i="11" s="1"/>
  <c r="P70" i="11"/>
  <c r="P74" i="11" s="1"/>
  <c r="G14" i="7"/>
  <c r="E10" i="7"/>
  <c r="L68" i="11"/>
  <c r="L25" i="11"/>
  <c r="L29" i="11" s="1"/>
  <c r="N68" i="11"/>
  <c r="AI147" i="8"/>
  <c r="K213" i="8"/>
  <c r="Q19" i="11" l="1"/>
  <c r="D64" i="11"/>
  <c r="Q64" i="11" s="1"/>
  <c r="D21" i="11"/>
  <c r="Q21" i="11" s="1"/>
  <c r="F153" i="11"/>
  <c r="F155" i="11" s="1"/>
  <c r="N70" i="11"/>
  <c r="N74" i="11" s="1"/>
  <c r="D114" i="11"/>
  <c r="Q112" i="11"/>
  <c r="AI213" i="8"/>
  <c r="K220" i="8"/>
  <c r="F23" i="11"/>
  <c r="F68" i="11"/>
  <c r="F70" i="11" s="1"/>
  <c r="L70" i="11"/>
  <c r="L74" i="11" s="1"/>
  <c r="D153" i="11" l="1"/>
  <c r="D155" i="11" s="1"/>
  <c r="Q155" i="11" s="1"/>
  <c r="D66" i="11"/>
  <c r="F74" i="11"/>
  <c r="D68" i="11"/>
  <c r="D70" i="11" s="1"/>
  <c r="D23" i="11"/>
  <c r="F25" i="11"/>
  <c r="Q114" i="11"/>
  <c r="Q66" i="11"/>
  <c r="AI220" i="8"/>
  <c r="K230" i="8"/>
  <c r="Q153" i="11" l="1"/>
  <c r="D74" i="11"/>
  <c r="F89" i="11" s="1"/>
  <c r="D78" i="11"/>
  <c r="Q70" i="11"/>
  <c r="Q23" i="11"/>
  <c r="D25" i="11"/>
  <c r="X49" i="10"/>
  <c r="AI230" i="8"/>
  <c r="F29" i="11"/>
  <c r="R68" i="11"/>
  <c r="Q68" i="11"/>
  <c r="D33" i="11" l="1"/>
  <c r="D29" i="11"/>
  <c r="F44" i="11" s="1"/>
  <c r="Q25" i="11"/>
  <c r="D83" i="11"/>
  <c r="D85" i="11" s="1"/>
  <c r="Z49" i="10"/>
  <c r="Z55" i="10" s="1"/>
  <c r="Z67" i="10" s="1"/>
  <c r="Z73" i="10" s="1"/>
  <c r="D16" i="10" s="1"/>
  <c r="X55" i="10"/>
  <c r="X67" i="10" s="1"/>
  <c r="X73" i="10" s="1"/>
  <c r="Q74" i="11"/>
  <c r="P89" i="11"/>
  <c r="P76" i="11" s="1"/>
  <c r="P78" i="11" s="1"/>
  <c r="P83" i="11" s="1"/>
  <c r="H89" i="11"/>
  <c r="H76" i="11" s="1"/>
  <c r="H78" i="11" s="1"/>
  <c r="H83" i="11" s="1"/>
  <c r="J89" i="11"/>
  <c r="J76" i="11" s="1"/>
  <c r="J78" i="11" s="1"/>
  <c r="J83" i="11" s="1"/>
  <c r="N89" i="11"/>
  <c r="N76" i="11" s="1"/>
  <c r="N78" i="11" s="1"/>
  <c r="N83" i="11" s="1"/>
  <c r="L89" i="11"/>
  <c r="L76" i="11" s="1"/>
  <c r="L78" i="11" s="1"/>
  <c r="L83" i="11" s="1"/>
  <c r="N85" i="11" l="1"/>
  <c r="L85" i="11"/>
  <c r="J85" i="11"/>
  <c r="P85" i="11"/>
  <c r="H85" i="11"/>
  <c r="D28" i="10"/>
  <c r="O44" i="11"/>
  <c r="Q29" i="11"/>
  <c r="H44" i="11"/>
  <c r="H31" i="11" s="1"/>
  <c r="H33" i="11" s="1"/>
  <c r="H38" i="11" s="1"/>
  <c r="J44" i="11"/>
  <c r="J31" i="11" s="1"/>
  <c r="J33" i="11" s="1"/>
  <c r="J38" i="11" s="1"/>
  <c r="P44" i="11"/>
  <c r="P31" i="11" s="1"/>
  <c r="P33" i="11" s="1"/>
  <c r="P38" i="11" s="1"/>
  <c r="N44" i="11"/>
  <c r="N31" i="11" s="1"/>
  <c r="N33" i="11" s="1"/>
  <c r="N38" i="11" s="1"/>
  <c r="L44" i="11"/>
  <c r="L31" i="11" s="1"/>
  <c r="L33" i="11" s="1"/>
  <c r="L38" i="11" s="1"/>
  <c r="Q89" i="11"/>
  <c r="F76" i="11"/>
  <c r="D38" i="11"/>
  <c r="D40" i="11" s="1"/>
  <c r="J40" i="11" l="1"/>
  <c r="N40" i="11"/>
  <c r="F31" i="11"/>
  <c r="Q44" i="11"/>
  <c r="L40" i="11"/>
  <c r="H40" i="11"/>
  <c r="Q76" i="11"/>
  <c r="F78" i="11"/>
  <c r="P40" i="11"/>
  <c r="F16" i="10"/>
  <c r="D33" i="10"/>
  <c r="F20" i="10"/>
  <c r="F18" i="10"/>
  <c r="F24" i="10"/>
  <c r="F26" i="10"/>
  <c r="F22" i="10"/>
  <c r="F28" i="10" l="1"/>
  <c r="F83" i="11"/>
  <c r="F85" i="11" s="1"/>
  <c r="Q78" i="11"/>
  <c r="Q31" i="11"/>
  <c r="F33" i="11"/>
  <c r="D38" i="10"/>
  <c r="D40" i="10" s="1"/>
  <c r="L36" i="10"/>
  <c r="F38" i="11" l="1"/>
  <c r="F40" i="11" s="1"/>
  <c r="Q33" i="11"/>
  <c r="H170" i="11" l="1"/>
  <c r="H129" i="11"/>
  <c r="L170" i="11" l="1"/>
  <c r="L129" i="11"/>
  <c r="P170" i="11"/>
  <c r="P129" i="11"/>
  <c r="F129" i="11"/>
  <c r="N170" i="11"/>
  <c r="N129" i="11"/>
  <c r="J170" i="11"/>
  <c r="J129" i="11"/>
  <c r="F170" i="11" l="1"/>
  <c r="D129" i="11"/>
  <c r="L136" i="11" s="1"/>
  <c r="L120" i="11" s="1"/>
  <c r="D170" i="11" l="1"/>
  <c r="L177" i="11" s="1"/>
  <c r="L161" i="11" s="1"/>
  <c r="Q129" i="11"/>
  <c r="H136" i="11"/>
  <c r="H120" i="11" s="1"/>
  <c r="J136" i="11"/>
  <c r="J120" i="11" s="1"/>
  <c r="F136" i="11"/>
  <c r="P136" i="11"/>
  <c r="P120" i="11" s="1"/>
  <c r="J177" i="11"/>
  <c r="J161" i="11" s="1"/>
  <c r="N136" i="11"/>
  <c r="N120" i="11" s="1"/>
  <c r="P177" i="11" l="1"/>
  <c r="P161" i="11" s="1"/>
  <c r="N177" i="11"/>
  <c r="N161" i="11" s="1"/>
  <c r="H177" i="11"/>
  <c r="H161" i="11" s="1"/>
  <c r="Q170" i="11"/>
  <c r="F177" i="11"/>
  <c r="F161" i="11" s="1"/>
  <c r="F120" i="11"/>
  <c r="Q120" i="11" s="1"/>
  <c r="Q136" i="11"/>
  <c r="Q161" i="11" l="1"/>
  <c r="Q177" i="11"/>
  <c r="D97" i="10"/>
  <c r="F97" i="10" s="1"/>
  <c r="N116" i="11"/>
  <c r="N118" i="11" s="1"/>
  <c r="N122" i="11" s="1"/>
  <c r="D101" i="10" l="1"/>
  <c r="F101" i="10" s="1"/>
  <c r="D99" i="10"/>
  <c r="F99" i="10" s="1"/>
  <c r="P116" i="11"/>
  <c r="P118" i="11" s="1"/>
  <c r="P122" i="11" s="1"/>
  <c r="D95" i="10"/>
  <c r="F95" i="10" s="1"/>
  <c r="H116" i="11"/>
  <c r="H118" i="11" s="1"/>
  <c r="H122" i="11" s="1"/>
  <c r="F116" i="11"/>
  <c r="F157" i="11"/>
  <c r="J116" i="11" l="1"/>
  <c r="J118" i="11" s="1"/>
  <c r="J122" i="11" s="1"/>
  <c r="F159" i="11"/>
  <c r="L157" i="11"/>
  <c r="L159" i="11" s="1"/>
  <c r="L163" i="11" s="1"/>
  <c r="L116" i="11"/>
  <c r="L118" i="11" s="1"/>
  <c r="L122" i="11" s="1"/>
  <c r="F118" i="11"/>
  <c r="N157" i="11"/>
  <c r="N159" i="11" s="1"/>
  <c r="N163" i="11" s="1"/>
  <c r="D103" i="10"/>
  <c r="F103" i="10" s="1"/>
  <c r="D116" i="11" l="1"/>
  <c r="Q116" i="11" s="1"/>
  <c r="F163" i="11"/>
  <c r="P157" i="11"/>
  <c r="P159" i="11" s="1"/>
  <c r="P163" i="11" s="1"/>
  <c r="J157" i="11"/>
  <c r="J159" i="11" s="1"/>
  <c r="J163" i="11" s="1"/>
  <c r="D118" i="11"/>
  <c r="H157" i="11"/>
  <c r="F122" i="11"/>
  <c r="D122" i="11" l="1"/>
  <c r="F137" i="11" s="1"/>
  <c r="Q118" i="11"/>
  <c r="D126" i="11"/>
  <c r="H159" i="11"/>
  <c r="H163" i="11" s="1"/>
  <c r="D157" i="11"/>
  <c r="D159" i="11" l="1"/>
  <c r="Q157" i="11"/>
  <c r="D131" i="11"/>
  <c r="D133" i="11" s="1"/>
  <c r="D93" i="10"/>
  <c r="F93" i="10" s="1"/>
  <c r="Q122" i="11"/>
  <c r="N137" i="11"/>
  <c r="N124" i="11" s="1"/>
  <c r="N126" i="11" s="1"/>
  <c r="N131" i="11" s="1"/>
  <c r="H137" i="11"/>
  <c r="H124" i="11" s="1"/>
  <c r="H126" i="11" s="1"/>
  <c r="H131" i="11" s="1"/>
  <c r="H133" i="11" s="1"/>
  <c r="P137" i="11"/>
  <c r="P124" i="11" s="1"/>
  <c r="P126" i="11" s="1"/>
  <c r="P131" i="11" s="1"/>
  <c r="L137" i="11"/>
  <c r="L124" i="11" s="1"/>
  <c r="L126" i="11" s="1"/>
  <c r="L131" i="11" s="1"/>
  <c r="J137" i="11"/>
  <c r="J124" i="11" s="1"/>
  <c r="J126" i="11" s="1"/>
  <c r="J131" i="11" s="1"/>
  <c r="P133" i="11" l="1"/>
  <c r="J133" i="11"/>
  <c r="N133" i="11"/>
  <c r="L133" i="11"/>
  <c r="F124" i="11"/>
  <c r="Q137" i="11"/>
  <c r="F105" i="10"/>
  <c r="D105" i="10"/>
  <c r="D110" i="10" s="1"/>
  <c r="D163" i="11"/>
  <c r="Q159" i="11"/>
  <c r="D167" i="11"/>
  <c r="Q124" i="11" l="1"/>
  <c r="F126" i="11"/>
  <c r="Q163" i="11"/>
  <c r="N178" i="11"/>
  <c r="N165" i="11" s="1"/>
  <c r="N167" i="11" s="1"/>
  <c r="N172" i="11" s="1"/>
  <c r="L178" i="11"/>
  <c r="L165" i="11" s="1"/>
  <c r="L167" i="11" s="1"/>
  <c r="L172" i="11" s="1"/>
  <c r="P178" i="11"/>
  <c r="P165" i="11" s="1"/>
  <c r="P167" i="11" s="1"/>
  <c r="P172" i="11" s="1"/>
  <c r="J178" i="11"/>
  <c r="J165" i="11" s="1"/>
  <c r="J167" i="11" s="1"/>
  <c r="J172" i="11" s="1"/>
  <c r="F178" i="11"/>
  <c r="H178" i="11"/>
  <c r="H165" i="11" s="1"/>
  <c r="H167" i="11" s="1"/>
  <c r="H172" i="11" s="1"/>
  <c r="D172" i="11"/>
  <c r="D174" i="11" s="1"/>
  <c r="P174" i="11" l="1"/>
  <c r="L174" i="11"/>
  <c r="Q178" i="11"/>
  <c r="F165" i="11"/>
  <c r="N174" i="11"/>
  <c r="H174" i="11"/>
  <c r="J174" i="11"/>
  <c r="F131" i="11"/>
  <c r="F133" i="11" s="1"/>
  <c r="Q126" i="11"/>
  <c r="Q165" i="11" l="1"/>
  <c r="F167" i="11"/>
  <c r="F172" i="11" l="1"/>
  <c r="F174" i="11" s="1"/>
  <c r="Q167" i="11"/>
</calcChain>
</file>

<file path=xl/sharedStrings.xml><?xml version="1.0" encoding="utf-8"?>
<sst xmlns="http://schemas.openxmlformats.org/spreadsheetml/2006/main" count="1684" uniqueCount="707">
  <si>
    <t>Increase</t>
  </si>
  <si>
    <t>Percent</t>
  </si>
  <si>
    <t>Cost of Service</t>
  </si>
  <si>
    <t xml:space="preserve"> Schedule A</t>
  </si>
  <si>
    <t>Under Present Rates</t>
  </si>
  <si>
    <t>Amount</t>
  </si>
  <si>
    <t>Other Operating Revenues</t>
  </si>
  <si>
    <t xml:space="preserve">      Total</t>
  </si>
  <si>
    <t>0= NO GAS COSTS OR GROSS RECEIPTS</t>
  </si>
  <si>
    <t>Schedule D</t>
  </si>
  <si>
    <t>SUMMARY OF COST OF SERVICE BY SERVICE CLASSIFICATION</t>
  </si>
  <si>
    <t>Cost Function</t>
  </si>
  <si>
    <t>(Schedule E)</t>
  </si>
  <si>
    <t>Gas Costs</t>
  </si>
  <si>
    <t xml:space="preserve">         Total</t>
  </si>
  <si>
    <t>O&amp;M other than A&amp;G</t>
  </si>
  <si>
    <t xml:space="preserve">               Subtotal</t>
  </si>
  <si>
    <t>Number of bills</t>
  </si>
  <si>
    <t>UNDER PRESENT RATES</t>
  </si>
  <si>
    <t>Schedule C</t>
  </si>
  <si>
    <t>DEVELOPMENT OF RATE OF RETURN BY SERVICE CLASSIFICATION</t>
  </si>
  <si>
    <t>UNDER PROPOSED RATES</t>
  </si>
  <si>
    <t xml:space="preserve">Item </t>
  </si>
  <si>
    <t xml:space="preserve">       and Transportation</t>
  </si>
  <si>
    <t xml:space="preserve"> 2. Other Revenues</t>
  </si>
  <si>
    <t xml:space="preserve"> 3. Total Operating Revenues</t>
  </si>
  <si>
    <t xml:space="preserve"> 4. Less: Operating Expenses</t>
  </si>
  <si>
    <t xml:space="preserve"> 5. Return and Income Taxes</t>
  </si>
  <si>
    <t xml:space="preserve"> 6. Less: Interest Expense</t>
  </si>
  <si>
    <t xml:space="preserve"> 7. Taxable Income</t>
  </si>
  <si>
    <t xml:space="preserve"> 8. Less: Income Taxes</t>
  </si>
  <si>
    <t xml:space="preserve"> 9. Net Return (Ln 5 - Ln 8)</t>
  </si>
  <si>
    <t xml:space="preserve">10. Original Cost Measure </t>
  </si>
  <si>
    <t xml:space="preserve">       of Value (Factor 15.)</t>
  </si>
  <si>
    <t>11. Rate of Return, Percent</t>
  </si>
  <si>
    <t>12. Relative Rate of Return</t>
  </si>
  <si>
    <t>FACTOR FOR LINE 6</t>
  </si>
  <si>
    <t>FACTOR FOR LINE 8</t>
  </si>
  <si>
    <t>( $ in Thousands )</t>
  </si>
  <si>
    <t>Other Property on Customer Premises</t>
  </si>
  <si>
    <t>Other Tangible Property</t>
  </si>
  <si>
    <t>Customer Deposits</t>
  </si>
  <si>
    <t>OPERATION &amp; MAINTENANCE EXPENSE</t>
  </si>
  <si>
    <t>MANUFACTURED GAS PRODUCTION EXPENSES</t>
  </si>
  <si>
    <t>Total Gas Raw Materials Expenses</t>
  </si>
  <si>
    <t>725 - 736</t>
  </si>
  <si>
    <t>Manufactured Gas Production Expenses</t>
  </si>
  <si>
    <t>740 - 742</t>
  </si>
  <si>
    <t>Total Production Expense</t>
  </si>
  <si>
    <t>OTHER GAS SUPPLY EXPENSES</t>
  </si>
  <si>
    <t>Natural Gas City Gate Purchases</t>
  </si>
  <si>
    <t>Other Gas Purchases</t>
  </si>
  <si>
    <t>Purchases Gas Cost Adjustments</t>
  </si>
  <si>
    <t>Gas Withdrawn from Storage-Debit</t>
  </si>
  <si>
    <t>Gas Supply Operation Expenses</t>
  </si>
  <si>
    <t>DISTRIBUTION EXPENSES</t>
  </si>
  <si>
    <t>Operations Expense</t>
  </si>
  <si>
    <t>Operation Supervision and Engineering</t>
  </si>
  <si>
    <t>Distribution Load Dispatching</t>
  </si>
  <si>
    <t>Mains and Services Expenses</t>
  </si>
  <si>
    <t>Measuring and Regulating Station Expenses-General</t>
  </si>
  <si>
    <t>Measuring and Regulating Station Expenses-Industrial</t>
  </si>
  <si>
    <t>Measuring and Regulating Station Expenses-City Gate</t>
  </si>
  <si>
    <t>Meter and House Regulator Expenses</t>
  </si>
  <si>
    <t>Customer Installations Expenses</t>
  </si>
  <si>
    <t>Other Expenses</t>
  </si>
  <si>
    <t>Rents</t>
  </si>
  <si>
    <t>Total Distribution Operation Expenses</t>
  </si>
  <si>
    <t>Maintenance Expense</t>
  </si>
  <si>
    <t xml:space="preserve">Maintenance Supervision and Engineering </t>
  </si>
  <si>
    <t>Maintenance of Structures and Improvements</t>
  </si>
  <si>
    <t>Maintenance of Mains</t>
  </si>
  <si>
    <t>Maintenance of Measuring &amp; Reg. Station Equip.-Genl.</t>
  </si>
  <si>
    <t>Maintenance of Measuring &amp; Reg. Station Equip.-Indtrl.</t>
  </si>
  <si>
    <t>Maintenance of Measuring &amp; Reg. Station Equip.-City G</t>
  </si>
  <si>
    <t>Maintenance of Services</t>
  </si>
  <si>
    <t>Maintenance of Meters &amp; House Regulators</t>
  </si>
  <si>
    <t>Maintenance of Other Equipment</t>
  </si>
  <si>
    <t>Total Distribution Maintenance Expenses</t>
  </si>
  <si>
    <t>Total Distribution Expense</t>
  </si>
  <si>
    <t>CUSTOMER ACCOUNTS EXPENSES</t>
  </si>
  <si>
    <t>Meter Reading Expenses</t>
  </si>
  <si>
    <t>Customer Records &amp; Collection Expenses</t>
  </si>
  <si>
    <t>Miscellaneous Customer Accounts Expenses</t>
  </si>
  <si>
    <t>Customer Account Operations Expenses</t>
  </si>
  <si>
    <t>CUSTOMER SERVICE &amp; INFORM. EXPENSES</t>
  </si>
  <si>
    <t>Customer Assistance Expenses</t>
  </si>
  <si>
    <t>Miscellaneous Customer Service &amp; Informational Exp.</t>
  </si>
  <si>
    <t>Total Cust. Service &amp; Inform. Operations Exp</t>
  </si>
  <si>
    <t>Demonstrating and Selling Expenses</t>
  </si>
  <si>
    <t>Advertising Expenses</t>
  </si>
  <si>
    <t>Miscellaneous Sales Expenses</t>
  </si>
  <si>
    <t>Total Operation Sales Expenses</t>
  </si>
  <si>
    <t>ADMINISTRATIVE AND GENERAL EXPENSES</t>
  </si>
  <si>
    <t>Administrative and General Salaries</t>
  </si>
  <si>
    <t>Office Supplies and Expenses</t>
  </si>
  <si>
    <t>Outside Service Employed</t>
  </si>
  <si>
    <t>Property Insurance</t>
  </si>
  <si>
    <t>Injuries and Damages</t>
  </si>
  <si>
    <t xml:space="preserve">Employee Pensions and Benefits </t>
  </si>
  <si>
    <t>Regulatory Commission Expenses</t>
  </si>
  <si>
    <t>Miscellaneous General Expenses</t>
  </si>
  <si>
    <t>Miscellaneous Intercompany Charges</t>
  </si>
  <si>
    <t>Total A &amp; G Operation Expenses</t>
  </si>
  <si>
    <t>Maintenance of General Plant</t>
  </si>
  <si>
    <t>Total A &amp; G Expense</t>
  </si>
  <si>
    <t>Total Gas Operation and Maintenance Expenses</t>
  </si>
  <si>
    <t>740-742</t>
  </si>
  <si>
    <t>725-736</t>
  </si>
  <si>
    <t xml:space="preserve">Supervision And Engineering       </t>
  </si>
  <si>
    <t xml:space="preserve">Distribution Load Dispatching     </t>
  </si>
  <si>
    <t xml:space="preserve">Mains And Services Expenses       </t>
  </si>
  <si>
    <t xml:space="preserve">M &amp; R Station Expenses -General   </t>
  </si>
  <si>
    <t>M &amp; R Station Expenses - City Gate Station</t>
  </si>
  <si>
    <t>Meter And House Regulator Expenses</t>
  </si>
  <si>
    <t xml:space="preserve">Customer Installation Expenses    </t>
  </si>
  <si>
    <t xml:space="preserve">Other Expenses                    </t>
  </si>
  <si>
    <t xml:space="preserve">Structures &amp; Improvements         </t>
  </si>
  <si>
    <t xml:space="preserve">M &amp; R Equip - General             </t>
  </si>
  <si>
    <t>M &amp; R Equip - Ind</t>
  </si>
  <si>
    <t>M &amp; R Equip - CG Check Station</t>
  </si>
  <si>
    <t xml:space="preserve">Services                          </t>
  </si>
  <si>
    <t xml:space="preserve">Meters &amp; House Regulators         </t>
  </si>
  <si>
    <t xml:space="preserve">Meter Reading Expenses            </t>
  </si>
  <si>
    <t xml:space="preserve">Customer Records &amp; Coll Expenses  </t>
  </si>
  <si>
    <t xml:space="preserve">Customer Assistance Expenses      </t>
  </si>
  <si>
    <t>Demonstrating And Selling Expenses</t>
  </si>
  <si>
    <t xml:space="preserve">Administrative &amp; General Salaries </t>
  </si>
  <si>
    <t xml:space="preserve">Office Supplies And Expenses      </t>
  </si>
  <si>
    <t xml:space="preserve">Maintenance of General Plant      </t>
  </si>
  <si>
    <t>COMPARISON OF COST OF SERVICE WITH REVENUES UNDER PRESENT AND PROPOSED RATES</t>
  </si>
  <si>
    <t>Direct Customer Costs</t>
  </si>
  <si>
    <t xml:space="preserve">  Employee Pensions and Benefits    </t>
  </si>
  <si>
    <t>Factors are based on the weighting of the factors derived from average daily throughput volumes and</t>
  </si>
  <si>
    <t>Factors are based on the result of allocating the original cost measure of value,</t>
  </si>
  <si>
    <t>FACTOR 16.  ALLOCATION OF REGULATORY COMMISSION EXPENSES,</t>
  </si>
  <si>
    <t>ASSESSMENTS AND OTHER REVENUES.</t>
  </si>
  <si>
    <t>Factors are based on the allocation of total operation and maintenance direct labor</t>
  </si>
  <si>
    <t>Factors are based on the allocation of the original cost less depreciation excluding the</t>
  </si>
  <si>
    <t>items being allocated, as follows:</t>
  </si>
  <si>
    <t xml:space="preserve">     O &amp; M Expenses:</t>
  </si>
  <si>
    <t xml:space="preserve">      Rate Base</t>
  </si>
  <si>
    <t xml:space="preserve">     Taxes and Return</t>
  </si>
  <si>
    <t>@</t>
  </si>
  <si>
    <t>Total Direct Customer Costs</t>
  </si>
  <si>
    <t>Direct Costs per bill</t>
  </si>
  <si>
    <t xml:space="preserve">     Subtotal O &amp; M Expenses</t>
  </si>
  <si>
    <t xml:space="preserve">  Subtotal Depreciation</t>
  </si>
  <si>
    <t xml:space="preserve">      Subtotal Rate Base</t>
  </si>
  <si>
    <t>Fully Allocated Customer Costs</t>
  </si>
  <si>
    <t>Customer Cost per bill</t>
  </si>
  <si>
    <t xml:space="preserve"> 1. Revenues From Tariff Sales</t>
  </si>
  <si>
    <t>TOTAL COST OF SERVICE RELATED TO</t>
  </si>
  <si>
    <t xml:space="preserve">    TARIFF SALES AND TRANSPORTATION</t>
  </si>
  <si>
    <t>FACTOR 14.  ALLOCATION OF ORGANIZATION, FRANCHISES AND CONSENTS,</t>
  </si>
  <si>
    <t>MISCELLANEOUS INTANGIBLE PLANT AND OTHER RATE BASE ELEMENTS.</t>
  </si>
  <si>
    <t>DIRECT LABOR EXPENSE</t>
  </si>
  <si>
    <t>Depreciation Expense</t>
  </si>
  <si>
    <t>Mains</t>
  </si>
  <si>
    <t>Measuring &amp; Regulating Equipment - General</t>
  </si>
  <si>
    <t>Measuring &amp; Regulating Equipment - City Gate</t>
  </si>
  <si>
    <t>Services</t>
  </si>
  <si>
    <t>House Regulators</t>
  </si>
  <si>
    <t>House Regulator Installations</t>
  </si>
  <si>
    <t>Industrial Measuring &amp; Regulating Equipment</t>
  </si>
  <si>
    <t>Miscellaneous Equipment</t>
  </si>
  <si>
    <t>Total Plant</t>
  </si>
  <si>
    <t>Supervision</t>
  </si>
  <si>
    <t>Supervision - Engineering and Labor</t>
  </si>
  <si>
    <t>Other Equipment</t>
  </si>
  <si>
    <t>FACTORS FOR ALLOCATING COST OF SERVICE TO SERVICE CLASSIFICATIONS</t>
  </si>
  <si>
    <t>Service</t>
  </si>
  <si>
    <t>Classification</t>
  </si>
  <si>
    <t>(1)</t>
  </si>
  <si>
    <t>Volumetric</t>
  </si>
  <si>
    <t>Residential</t>
  </si>
  <si>
    <t xml:space="preserve">    Total</t>
  </si>
  <si>
    <t>SUMMARY OF PRO FORMA VOLUMES BY CLASSIFICATION</t>
  </si>
  <si>
    <t>Total</t>
  </si>
  <si>
    <t>Average</t>
  </si>
  <si>
    <t>Allocation</t>
  </si>
  <si>
    <t>(2)</t>
  </si>
  <si>
    <t>Pro Forma</t>
  </si>
  <si>
    <t>Volumes</t>
  </si>
  <si>
    <t>(Mcf)</t>
  </si>
  <si>
    <t>Weighted</t>
  </si>
  <si>
    <t>Factor</t>
  </si>
  <si>
    <t>FACTOR 1</t>
  </si>
  <si>
    <t>Sales</t>
  </si>
  <si>
    <t>Maximum Day</t>
  </si>
  <si>
    <t>Extra Demand</t>
  </si>
  <si>
    <t>(4)</t>
  </si>
  <si>
    <t>Full</t>
  </si>
  <si>
    <t>Tariff</t>
  </si>
  <si>
    <t>Transport.</t>
  </si>
  <si>
    <t>(3)</t>
  </si>
  <si>
    <t>FACTOR 2&amp;3</t>
  </si>
  <si>
    <t>Throughput</t>
  </si>
  <si>
    <t>(6)</t>
  </si>
  <si>
    <t>Customer</t>
  </si>
  <si>
    <t>Average Daily</t>
  </si>
  <si>
    <t>Original</t>
  </si>
  <si>
    <t>(5)</t>
  </si>
  <si>
    <t>Number of</t>
  </si>
  <si>
    <t>Meters</t>
  </si>
  <si>
    <t>Factors are based on distribution operation expenses other than those being allocated.</t>
  </si>
  <si>
    <t>FACTOR 13.  ALLOCATION OF LABOR RELATED TAXES AND BENEFITS.</t>
  </si>
  <si>
    <t>Operation</t>
  </si>
  <si>
    <t>Expense</t>
  </si>
  <si>
    <t>Operation &amp;</t>
  </si>
  <si>
    <t>Maintenance</t>
  </si>
  <si>
    <t>Expenses</t>
  </si>
  <si>
    <t>Total Labor</t>
  </si>
  <si>
    <t>Cost Less</t>
  </si>
  <si>
    <t>Depreciation</t>
  </si>
  <si>
    <t>FACTOR 15.  ALLOCATION OF RETURN AND TAXES.</t>
  </si>
  <si>
    <t>Cost of</t>
  </si>
  <si>
    <t>CALCULATION OF CUSTOMER COSTS PER BILL BY SERVICE CLASSIFICATION</t>
  </si>
  <si>
    <t xml:space="preserve">   </t>
  </si>
  <si>
    <t xml:space="preserve">                                    </t>
  </si>
  <si>
    <t xml:space="preserve">Total Operation                     </t>
  </si>
  <si>
    <t xml:space="preserve">Total Maintenance                   </t>
  </si>
  <si>
    <t xml:space="preserve">Total Other Gas Supply Expenses     </t>
  </si>
  <si>
    <t xml:space="preserve">  Administrative &amp; General Salaries </t>
  </si>
  <si>
    <t xml:space="preserve">  Property Damage Insurance         </t>
  </si>
  <si>
    <t xml:space="preserve">  Regulatory Commission Expenses    </t>
  </si>
  <si>
    <t xml:space="preserve">  Miscellaneous General Expenses    </t>
  </si>
  <si>
    <t xml:space="preserve">Total Natural Gas Production Expenses </t>
  </si>
  <si>
    <t>NATURAL GAS PRODUCTION EXPENSES</t>
  </si>
  <si>
    <t>Other Gas Supply Expenses</t>
  </si>
  <si>
    <t xml:space="preserve">DISTRIBUTION EXPENSES                 </t>
  </si>
  <si>
    <t xml:space="preserve">Total Distribution Expenses           </t>
  </si>
  <si>
    <t>CUSTOMER ACCOUNTING EXPENSES</t>
  </si>
  <si>
    <t xml:space="preserve">Total Customer Accounting Expenses    </t>
  </si>
  <si>
    <t>CUSTOMER SERVICE AND INFORMATION EXPENSES</t>
  </si>
  <si>
    <t>Total Customer Service &amp; Info Expenses</t>
  </si>
  <si>
    <t>SALES EXPENSES</t>
  </si>
  <si>
    <t xml:space="preserve">Total Sales Expenses                  </t>
  </si>
  <si>
    <t xml:space="preserve">ADMINISTRATIVE AND GENERAL EXPENSES   </t>
  </si>
  <si>
    <t>OPERATION AND MAINTENANCE EXPENSES</t>
  </si>
  <si>
    <t>DISTRIBUTION PLANT</t>
  </si>
  <si>
    <t xml:space="preserve">  Other Equipment                  </t>
  </si>
  <si>
    <t xml:space="preserve">Total Distribution Plant              </t>
  </si>
  <si>
    <t>GENERAL PLANT</t>
  </si>
  <si>
    <t xml:space="preserve">Total General Plant                   </t>
  </si>
  <si>
    <t xml:space="preserve">Total Taxes Other Than Income         </t>
  </si>
  <si>
    <t xml:space="preserve">Total Operating Expenses                </t>
  </si>
  <si>
    <t>Total Utility Plant in Service</t>
  </si>
  <si>
    <t xml:space="preserve">TAXES OTHER THAN INCOME TAXES     </t>
  </si>
  <si>
    <t>INCOME TAXES</t>
  </si>
  <si>
    <t>OPERATING INCOME AVAILABLE FOR RETURN</t>
  </si>
  <si>
    <t>TOTAL COST OF SERVICE</t>
  </si>
  <si>
    <t>Total Operation and Maintenance Expenses</t>
  </si>
  <si>
    <t xml:space="preserve"> </t>
  </si>
  <si>
    <t>Volumetric Costs</t>
  </si>
  <si>
    <t>Customer Costs</t>
  </si>
  <si>
    <t>OTHER RATE BASE ELEMENTS</t>
  </si>
  <si>
    <t>Factor 2</t>
  </si>
  <si>
    <t>FACTOR 7.  ALLOCATION OF COSTS ASSOCIATED WITH CUSTOMER ACCOUNTING.</t>
  </si>
  <si>
    <t>Basis for #11</t>
  </si>
  <si>
    <t>Basis for #12</t>
  </si>
  <si>
    <t>Account</t>
  </si>
  <si>
    <t xml:space="preserve">Total Administrative &amp; General Expenses   </t>
  </si>
  <si>
    <t>Basis for #13</t>
  </si>
  <si>
    <t>Basis for #14</t>
  </si>
  <si>
    <t xml:space="preserve">                                     </t>
  </si>
  <si>
    <t xml:space="preserve">    Total Nondepreciable Plant       </t>
  </si>
  <si>
    <t xml:space="preserve">Materials &amp; Supplies            </t>
  </si>
  <si>
    <t xml:space="preserve">Gas Storage Inventory           </t>
  </si>
  <si>
    <t xml:space="preserve">Cash Working Capital            </t>
  </si>
  <si>
    <t xml:space="preserve">Deferred Taxes                  </t>
  </si>
  <si>
    <t xml:space="preserve">  Total Other Rate Base Elements</t>
  </si>
  <si>
    <t>Basis for #15</t>
  </si>
  <si>
    <t>Basis for #16</t>
  </si>
  <si>
    <t>Less: Other Revenues</t>
  </si>
  <si>
    <t>Basis for #17</t>
  </si>
  <si>
    <t>Ref.</t>
  </si>
  <si>
    <t>Include Production?</t>
  </si>
  <si>
    <t xml:space="preserve">  Maintenance of General Plant      </t>
  </si>
  <si>
    <t xml:space="preserve">  Injuries and Damages</t>
  </si>
  <si>
    <t xml:space="preserve">   Total Direct Labor Expense</t>
  </si>
  <si>
    <t>Factor 3</t>
  </si>
  <si>
    <t>Revised:</t>
  </si>
  <si>
    <t xml:space="preserve">  Miscellaneous Company Charges</t>
  </si>
  <si>
    <t xml:space="preserve">  Other</t>
  </si>
  <si>
    <t>M &amp; R Station Expenses - Industrial</t>
  </si>
  <si>
    <t xml:space="preserve">INTANGIBLE PLANT                 </t>
  </si>
  <si>
    <t>Rate TS</t>
  </si>
  <si>
    <t>Factors are based on the allocation of operation and maintenance expenses.</t>
  </si>
  <si>
    <t>LFD</t>
  </si>
  <si>
    <t>XD</t>
  </si>
  <si>
    <t>DS</t>
  </si>
  <si>
    <t xml:space="preserve">Structures And Improvements      </t>
  </si>
  <si>
    <t xml:space="preserve">Services                         </t>
  </si>
  <si>
    <t xml:space="preserve">Meters                           </t>
  </si>
  <si>
    <t xml:space="preserve">Meter Installations              </t>
  </si>
  <si>
    <t xml:space="preserve">Other Equipment                  </t>
  </si>
  <si>
    <t xml:space="preserve">Office Furniture And Equipment   </t>
  </si>
  <si>
    <t xml:space="preserve">Transportation Equipment         </t>
  </si>
  <si>
    <t xml:space="preserve">Tools, Shop And Garage Equipment </t>
  </si>
  <si>
    <t xml:space="preserve">Power Operated Equipment         </t>
  </si>
  <si>
    <t xml:space="preserve">Communication Equipment          </t>
  </si>
  <si>
    <t xml:space="preserve">Capital Stock                   </t>
  </si>
  <si>
    <t>Payroll Related Tax</t>
  </si>
  <si>
    <t xml:space="preserve">Public Utility Reality Tax      </t>
  </si>
  <si>
    <t>6A</t>
  </si>
  <si>
    <t xml:space="preserve">    Services</t>
  </si>
  <si>
    <t>RATE BASE</t>
  </si>
  <si>
    <t>Gas Delivered to Storage-Credit</t>
  </si>
  <si>
    <t>Factor 3A</t>
  </si>
  <si>
    <t>Factor 2A</t>
  </si>
  <si>
    <t>Factors are based on the maximum day extra demand throughput for each classification.</t>
  </si>
  <si>
    <t>M &amp; R Equip - Industrial</t>
  </si>
  <si>
    <t>M &amp; R Equip - City Gate</t>
  </si>
  <si>
    <t xml:space="preserve">Uncollectible Accounts            </t>
  </si>
  <si>
    <t xml:space="preserve">Miscellaneous Cust Accts Expenses </t>
  </si>
  <si>
    <t xml:space="preserve">Advertising Expenses              </t>
  </si>
  <si>
    <t>N</t>
  </si>
  <si>
    <t>Rate N</t>
  </si>
  <si>
    <t>Rate DS</t>
  </si>
  <si>
    <t>Rate LFD</t>
  </si>
  <si>
    <t>Rate XD</t>
  </si>
  <si>
    <t>Rate R</t>
  </si>
  <si>
    <t xml:space="preserve">   Rate R</t>
  </si>
  <si>
    <t xml:space="preserve">  Rate R</t>
  </si>
  <si>
    <t xml:space="preserve">  Rate N</t>
  </si>
  <si>
    <t xml:space="preserve">  Rate DS</t>
  </si>
  <si>
    <t xml:space="preserve">  Rate LFD</t>
  </si>
  <si>
    <r>
      <t>Mains And Services Expenses</t>
    </r>
    <r>
      <rPr>
        <sz val="10.45"/>
        <rFont val="Arial"/>
        <family val="2"/>
      </rPr>
      <t xml:space="preserve"> </t>
    </r>
  </si>
  <si>
    <t>Customers</t>
  </si>
  <si>
    <t>6B</t>
  </si>
  <si>
    <t xml:space="preserve">   Rate N</t>
  </si>
  <si>
    <t xml:space="preserve">   Rate DS</t>
  </si>
  <si>
    <t xml:space="preserve">   Rate LFD</t>
  </si>
  <si>
    <t>7A</t>
  </si>
  <si>
    <t>SALES</t>
  </si>
  <si>
    <t>THRU-MAX</t>
  </si>
  <si>
    <t>THRU-AVE</t>
  </si>
  <si>
    <t>THRU MAX-AVE</t>
  </si>
  <si>
    <t>5A</t>
  </si>
  <si>
    <t>MAINS</t>
  </si>
  <si>
    <t>METERS</t>
  </si>
  <si>
    <t>IND METERS</t>
  </si>
  <si>
    <t>BILLS</t>
  </si>
  <si>
    <t>SALES BILLS</t>
  </si>
  <si>
    <t>METER READ</t>
  </si>
  <si>
    <t>RATE R</t>
  </si>
  <si>
    <t>COMPOSITES</t>
  </si>
  <si>
    <t>RATE N</t>
  </si>
  <si>
    <t>RATE DS</t>
  </si>
  <si>
    <t>RATE LFD</t>
  </si>
  <si>
    <t>RATE XD</t>
  </si>
  <si>
    <t>Factor 5</t>
  </si>
  <si>
    <t>Payroll Taxes</t>
  </si>
  <si>
    <t>*</t>
  </si>
  <si>
    <t>* Customer cost portion of account.</t>
  </si>
  <si>
    <t>Deferred Taxes</t>
  </si>
  <si>
    <t>FACTOR 6A. ALLOCATION OF COSTS ASSOCIATED WITH HOUSE REGULATORS</t>
  </si>
  <si>
    <t>HOUSE REG</t>
  </si>
  <si>
    <t>(4)=(3)-(2)</t>
  </si>
  <si>
    <t xml:space="preserve">  Outside Services Employed - Other</t>
  </si>
  <si>
    <t xml:space="preserve">  AND METER READING</t>
  </si>
  <si>
    <t>Cash Working Capital - Purchased Gas Related</t>
  </si>
  <si>
    <t>Factor 7</t>
  </si>
  <si>
    <t xml:space="preserve">     Total Customer Costs </t>
  </si>
  <si>
    <t xml:space="preserve">     Total Volumetric Costs</t>
  </si>
  <si>
    <t>Cust. Adv</t>
  </si>
  <si>
    <t>PRODUCTION AND GATHERING</t>
  </si>
  <si>
    <t>Total Production &amp; Gathering Operation Expenses</t>
  </si>
  <si>
    <t>Total Production &amp; Gathering Maintenance Expenses</t>
  </si>
  <si>
    <t>750 - 760</t>
  </si>
  <si>
    <t>761 - 769</t>
  </si>
  <si>
    <t>Total Natrual Gas Production Expenses</t>
  </si>
  <si>
    <t>Natural Gas Storage, Terminating &amp; Processing Expense</t>
  </si>
  <si>
    <t>Underground Storage Expense</t>
  </si>
  <si>
    <t>Transmission Expense</t>
  </si>
  <si>
    <t>Total Transmission Operation Expenses</t>
  </si>
  <si>
    <t>Total Transmission Maintenance Expenses</t>
  </si>
  <si>
    <t>Informational and Instructional Advertising</t>
  </si>
  <si>
    <t>Production and Gathering</t>
  </si>
  <si>
    <t xml:space="preserve">  Total Production Expenses</t>
  </si>
  <si>
    <t>Total Natural Gas Storage Expense</t>
  </si>
  <si>
    <t>TRANSMISSION EXPENSE</t>
  </si>
  <si>
    <t>850 - 860</t>
  </si>
  <si>
    <t>861 - 867</t>
  </si>
  <si>
    <t>Total Transmission Expense</t>
  </si>
  <si>
    <t>750-760</t>
  </si>
  <si>
    <t>Rent</t>
  </si>
  <si>
    <t>Land Rights of Way</t>
  </si>
  <si>
    <t>County and Municipal Taxes</t>
  </si>
  <si>
    <t>Public Utility Assessment</t>
  </si>
  <si>
    <t>DA</t>
  </si>
  <si>
    <t>Miscellaneous</t>
  </si>
  <si>
    <t>Extra</t>
  </si>
  <si>
    <t>Capacity</t>
  </si>
  <si>
    <t>FACTOR 5.  ALLOCATION OF COSTS ASSOCIATED WITH SMALL DISTRIBUTION MAINS.</t>
  </si>
  <si>
    <t xml:space="preserve">  Mains - Small</t>
  </si>
  <si>
    <t xml:space="preserve">  Mains - Large</t>
  </si>
  <si>
    <t>Mains - Small</t>
  </si>
  <si>
    <t>Mains - Large</t>
  </si>
  <si>
    <t xml:space="preserve">    Mains - Small</t>
  </si>
  <si>
    <t xml:space="preserve">    Mains - Large</t>
  </si>
  <si>
    <t xml:space="preserve">FACTOR 6C. ALLOCATION OF COSTS ASSOCIATED WITH SERVICES. </t>
  </si>
  <si>
    <t>6C</t>
  </si>
  <si>
    <t>Basis for #10</t>
  </si>
  <si>
    <t>FACTOR 10.  ALLOCATION OF DISTRIBUTION OPERATION OTHER EXPENSES AND RENT.</t>
  </si>
  <si>
    <t>FACTOR 11.  ALLOCATION OF DISTRIBUTION MAINTENANCE OTHER EXPENSES.</t>
  </si>
  <si>
    <t>Factors are based on distribution maintenance expenses other than those being allocated.</t>
  </si>
  <si>
    <t>FACTOR 9 (DA).  ALLOCATION OF CUSTOMER ASSISTANCE EXPENSES.</t>
  </si>
  <si>
    <t xml:space="preserve">      These costs are directly assigned to the Residential Classification.</t>
  </si>
  <si>
    <t>814-823</t>
  </si>
  <si>
    <t>824-826</t>
  </si>
  <si>
    <t>OTHER STORAGE EXPENSE</t>
  </si>
  <si>
    <t>OTHER STORAGE EXPENSES</t>
  </si>
  <si>
    <t>850-860</t>
  </si>
  <si>
    <t>861-867</t>
  </si>
  <si>
    <t>Compressor Station Fuel and Power (Major Only)</t>
  </si>
  <si>
    <t>Maintenance of Compressor Station Equipment</t>
  </si>
  <si>
    <t>Construction and Maintenance</t>
  </si>
  <si>
    <t>Other Property on Customer Premises - Farm Taps</t>
  </si>
  <si>
    <t>Miscellaneous Taxes</t>
  </si>
  <si>
    <t>Other Property on Customer Premises - Gas Lights</t>
  </si>
  <si>
    <t>Other Property on Customer Premises - CNG Refueling Station</t>
  </si>
  <si>
    <t xml:space="preserve">  Other Equipment - Graphic Data Base</t>
  </si>
  <si>
    <t>Employee Benefits and Pensions</t>
  </si>
  <si>
    <t>Investment Tax Credit</t>
  </si>
  <si>
    <t>Measuring &amp; Regulating Equipment - SCADA</t>
  </si>
  <si>
    <t>Interruptible</t>
  </si>
  <si>
    <t xml:space="preserve">  Interruptible</t>
  </si>
  <si>
    <t>Peak Day</t>
  </si>
  <si>
    <t>FACTOR 6. ALLOCATION OF COSTS ASSOCIATED WITH ACCOUNT 381, METERS.</t>
  </si>
  <si>
    <t>2A</t>
  </si>
  <si>
    <t xml:space="preserve">   Rate IS/IL</t>
  </si>
  <si>
    <t>PGC</t>
  </si>
  <si>
    <t>Pro Forma Margin Revenues,</t>
  </si>
  <si>
    <t>Daily Throughput</t>
  </si>
  <si>
    <t>Average Daily Throughput</t>
  </si>
  <si>
    <t>Daily PGC</t>
  </si>
  <si>
    <t>Reconnection Charges</t>
  </si>
  <si>
    <t>Other Miscellaneous Revenues</t>
  </si>
  <si>
    <t>Common</t>
  </si>
  <si>
    <t>IS</t>
  </si>
  <si>
    <t>DEPRECIATION AND AMORTIZATION EXPENSE</t>
  </si>
  <si>
    <t xml:space="preserve">Total Depreciation &amp; Amortization Expense              </t>
  </si>
  <si>
    <t>Firm</t>
  </si>
  <si>
    <t>Factors are based on the pro forma average daily PGC sales volumes for each service</t>
  </si>
  <si>
    <t xml:space="preserve">  classification.</t>
  </si>
  <si>
    <t xml:space="preserve">Delivery </t>
  </si>
  <si>
    <t>Factors are based on the weighting of the factors derived from average daily throughput volumes</t>
  </si>
  <si>
    <t xml:space="preserve"> volumes and from maximum day extra capacity demand for each service classification, as follows:</t>
  </si>
  <si>
    <t>Factor 4</t>
  </si>
  <si>
    <t xml:space="preserve">  MAINS ALLOCATION.</t>
  </si>
  <si>
    <t>Factors are based on the maximum day extra demand throughput for each classification,</t>
  </si>
  <si>
    <t xml:space="preserve">  excluding XD and Interruptible classifications. </t>
  </si>
  <si>
    <t>and from maximum day extra capacity demand for each service classification, as follows:</t>
  </si>
  <si>
    <t>FACTOR 12.  ALLOCATION OF ADMINISTRATIVE AND GENERAL EXPENSES.</t>
  </si>
  <si>
    <t>Miscellaneous Customer Service Exp.</t>
  </si>
  <si>
    <t>Industrial M &amp; R Equipment</t>
  </si>
  <si>
    <t>Factors are based on the number of customers for each classification, as follows.</t>
  </si>
  <si>
    <t>Total Excluding Gas Costs</t>
  </si>
  <si>
    <t>expense to service classifications as shown on the following page.</t>
  </si>
  <si>
    <t>(4)=(3)x</t>
  </si>
  <si>
    <t>(6)=(5)x</t>
  </si>
  <si>
    <t>5B</t>
  </si>
  <si>
    <t>WITHOUT GAS COSTS</t>
  </si>
  <si>
    <t>from maximum day extra capacity demand for each service classification, as follows:</t>
  </si>
  <si>
    <t>4A</t>
  </si>
  <si>
    <t>THRU MAX-AVE - M&amp;R</t>
  </si>
  <si>
    <t>Rate XD Firm</t>
  </si>
  <si>
    <t>Rate XD-Firm</t>
  </si>
  <si>
    <t xml:space="preserve">   Rate XD Firm</t>
  </si>
  <si>
    <t>(7)=(4)+(6)</t>
  </si>
  <si>
    <t xml:space="preserve">  Mains - Direct Assign</t>
  </si>
  <si>
    <t>Mains - Direct Assign</t>
  </si>
  <si>
    <t>Basis for #18</t>
  </si>
  <si>
    <t>Total Production Labor and Expenses</t>
  </si>
  <si>
    <t>Total Gas Fuels Expenses</t>
  </si>
  <si>
    <t>Total Products Extraction Operation Expenses</t>
  </si>
  <si>
    <t>Total Products Extraction Maintenance Expenses</t>
  </si>
  <si>
    <t>770 - 783</t>
  </si>
  <si>
    <t>784 - 791</t>
  </si>
  <si>
    <t>Gas Used for Operations</t>
  </si>
  <si>
    <t>Natural Gas Transmission Line Purchases</t>
  </si>
  <si>
    <t>Liquefied Natural Gas Purchases</t>
  </si>
  <si>
    <t>Exchange Gas</t>
  </si>
  <si>
    <t>Purchased Gas Expenses</t>
  </si>
  <si>
    <t>800 - 803</t>
  </si>
  <si>
    <t>Total Production &amp; Gathering Operation Exps.</t>
  </si>
  <si>
    <t>Total Production &amp; Gathering Maintenance Exps.</t>
  </si>
  <si>
    <t>Total Products Extraction Maintenance Exps.</t>
  </si>
  <si>
    <t>Operating Supervision and Engineering</t>
  </si>
  <si>
    <t>Operation Labor and Expenses</t>
  </si>
  <si>
    <t>Other Operations Expense</t>
  </si>
  <si>
    <t>842 - 842.3</t>
  </si>
  <si>
    <t>Compressor Station Labor and Expenses</t>
  </si>
  <si>
    <t>STRUCTURES AND IMPROVEMENTS</t>
  </si>
  <si>
    <t>MAINS - PLASTIC</t>
  </si>
  <si>
    <t>HOUSE REGULATORS</t>
  </si>
  <si>
    <t>HOUSE REGULATOR INSTALLATIONS</t>
  </si>
  <si>
    <t>TOTAL DISTRIBUTION PLANT</t>
  </si>
  <si>
    <t>STRUCTURES AND IMPROVEMENTS - LEASED PROPERTY</t>
  </si>
  <si>
    <t>OFFICE FURNITURE AND EQUIPMENT - FURNITURE</t>
  </si>
  <si>
    <t>OFFICE FURNITURE AND EQUIPMENT - EQUIPMENT</t>
  </si>
  <si>
    <t>TRANSPORTATION EQUIPMENT - CARS</t>
  </si>
  <si>
    <t>TOOLS, SHOP AND GARAGE EQUIPMENT</t>
  </si>
  <si>
    <t>POWER OPERATED EQUIPMENT</t>
  </si>
  <si>
    <t>COMMUNICATION EQUIPMENT</t>
  </si>
  <si>
    <t>MISCELLANEOUS EQUIPMENT</t>
  </si>
  <si>
    <t>TOTAL GENERAL PLANT</t>
  </si>
  <si>
    <t>TOTAL DEPRECIABLE GAS PLANT</t>
  </si>
  <si>
    <t>NONDEPRECIABLE PLANT</t>
  </si>
  <si>
    <t>TOTAL NONDEPRECIABLE PLANT</t>
  </si>
  <si>
    <t>TOTAL GAS PLANT</t>
  </si>
  <si>
    <t>OTHER UTILITY PLANT ALLOCATED TO GAS DIVISION</t>
  </si>
  <si>
    <t>COMMON PLANT</t>
  </si>
  <si>
    <t>ORGANIZATION (NONDEPRECIABLE)</t>
  </si>
  <si>
    <t>TOTAL COMMON PLANT</t>
  </si>
  <si>
    <t>INFORMATION SERVICES (IS)</t>
  </si>
  <si>
    <t>ALL OTHER</t>
  </si>
  <si>
    <t>NEW CIS SOFTWARE</t>
  </si>
  <si>
    <t>TOTAL INFORMATION SERVICES</t>
  </si>
  <si>
    <t>TOTAL OTHER UTILITY PLANT ALLOCATED TO GAS DIVISION</t>
  </si>
  <si>
    <t>TOTAL PLANT IN SERVICE</t>
  </si>
  <si>
    <t>GRAND TOTAL</t>
  </si>
  <si>
    <t>Total Expense</t>
  </si>
  <si>
    <t>Labor Amount</t>
  </si>
  <si>
    <t>Electronic Meters</t>
  </si>
  <si>
    <t>Depreciation Exp.</t>
  </si>
  <si>
    <t>Future Accruals</t>
  </si>
  <si>
    <t>Taxes Other Than Income</t>
  </si>
  <si>
    <t>PURTA Taxes</t>
  </si>
  <si>
    <t>Capital Stock</t>
  </si>
  <si>
    <t>PA &amp; Local Use taxes</t>
  </si>
  <si>
    <t>Social Security</t>
  </si>
  <si>
    <t>FUTA</t>
  </si>
  <si>
    <t>SUTA</t>
  </si>
  <si>
    <t>PUC Assessment</t>
  </si>
  <si>
    <t>Whole Dollars</t>
  </si>
  <si>
    <t>Dollars in Thousands</t>
  </si>
  <si>
    <t xml:space="preserve">Total </t>
  </si>
  <si>
    <t>Dollars</t>
  </si>
  <si>
    <t>Accruals</t>
  </si>
  <si>
    <t>Net Salv Amort.</t>
  </si>
  <si>
    <t>Manufactured Gas Plant Site Remediation</t>
  </si>
  <si>
    <t>Total Common Plant</t>
  </si>
  <si>
    <t>Office Furniture and Equipment</t>
  </si>
  <si>
    <t>Transportation Equipment</t>
  </si>
  <si>
    <t>Structures and Improvements</t>
  </si>
  <si>
    <t>Office Furniture and Equip. - New CIS Software</t>
  </si>
  <si>
    <t>Total Information Services</t>
  </si>
  <si>
    <t xml:space="preserve">Franchises And Consents       </t>
  </si>
  <si>
    <t>Land and Land Rights</t>
  </si>
  <si>
    <t xml:space="preserve">Land </t>
  </si>
  <si>
    <t xml:space="preserve">    Total Measure of Value      </t>
  </si>
  <si>
    <t>Manufactured Gas Plant Remediation</t>
  </si>
  <si>
    <t>Forfieted Discounts/Penalties</t>
  </si>
  <si>
    <t>Rent From Gas Property</t>
  </si>
  <si>
    <t>Miscellaneous Customer Service &amp; Info. Exp.</t>
  </si>
  <si>
    <t xml:space="preserve">  Office Supplies and Expenses      </t>
  </si>
  <si>
    <t>Include Gas Costs?</t>
  </si>
  <si>
    <t>yes=1, No =0</t>
  </si>
  <si>
    <t>Peak Day Dth</t>
  </si>
  <si>
    <t>Peak Day MCF</t>
  </si>
  <si>
    <t>Avg. Day Mcf</t>
  </si>
  <si>
    <t>Ratio</t>
  </si>
  <si>
    <t>4a</t>
  </si>
  <si>
    <t>FACTOR 19.  ALLOCATION OF UNCOLLECTIBLE ACCOUNTS</t>
  </si>
  <si>
    <t>FACTOR 20.  ALLOCATION OF PENALTY REVENUE</t>
  </si>
  <si>
    <t>Penalty Revenue</t>
  </si>
  <si>
    <t>Uncollectibles</t>
  </si>
  <si>
    <t>Penalty Revs.</t>
  </si>
  <si>
    <t>Less:</t>
  </si>
  <si>
    <t>Amount Charged to Clearing Accounts</t>
  </si>
  <si>
    <t xml:space="preserve">Present </t>
  </si>
  <si>
    <t>Proposed</t>
  </si>
  <si>
    <t>Present</t>
  </si>
  <si>
    <t>IL</t>
  </si>
  <si>
    <t>MUST USE SWITCH BELOW BEFORE PRINTING UNDER PRESENT OR PROPOSED!!!</t>
  </si>
  <si>
    <t>Present = 1, Proposed = 2</t>
  </si>
  <si>
    <t>= Total COS from model</t>
  </si>
  <si>
    <t>FACTORS 2 .  ALLOCATION OF COMPRESSOR STATION FUEL.</t>
  </si>
  <si>
    <t xml:space="preserve">   for each service classification.</t>
  </si>
  <si>
    <t>Under Proposed Rates</t>
  </si>
  <si>
    <t>Revenue Increase</t>
  </si>
  <si>
    <t>Rate XD - Firm</t>
  </si>
  <si>
    <t>&lt;&lt;Plus gas costs&gt;&gt;</t>
  </si>
  <si>
    <t>Total w/gas costs</t>
  </si>
  <si>
    <t>Average of</t>
  </si>
  <si>
    <t>Cost of Service Studies</t>
  </si>
  <si>
    <t>FACTOR 17.  ALLOCATION OF OPERATION AND MAINTENANCE EXPENSES ASSOCIATED</t>
  </si>
  <si>
    <t xml:space="preserve">   WITH LARGE MAINS.</t>
  </si>
  <si>
    <t>FACTOR 18.  ALLOCATION OF RATE BASE ASSOCIATED M&amp;R STATION EQUIPMENT.</t>
  </si>
  <si>
    <t>Factors are based on an analysis of penalty revenue, by class.</t>
  </si>
  <si>
    <t>Factors are based on the allocation of rate base for large and directly assigned mains.</t>
  </si>
  <si>
    <t>AVERAGE of</t>
  </si>
  <si>
    <t>Service Studies</t>
  </si>
  <si>
    <t>FACTOR 3B. CALCULATION OF MAXIMUM DAY EXTRA DEMAND FACTORS FOR SMALL</t>
  </si>
  <si>
    <t>Factor 3B</t>
  </si>
  <si>
    <t xml:space="preserve">      Subtotal</t>
  </si>
  <si>
    <t>Factors are based on history of net write-offs by class.</t>
  </si>
  <si>
    <t>RATE R, RATE N, RATE DS, RATE LFD, RATE XD, AND INTERRUPTIBLE SERVICE CLASSIFICATIONS</t>
  </si>
  <si>
    <t xml:space="preserve">Factors are based on the pro forma average daily throughput volumes </t>
  </si>
  <si>
    <t>Factor*</t>
  </si>
  <si>
    <t xml:space="preserve">    STATION EQUIPMENT.</t>
  </si>
  <si>
    <t>FACTOR 4A.  ALLOCATION OF COSTS ASSOCIATED WITH LOAD DISPATCHING AND M&amp;R</t>
  </si>
  <si>
    <t>M&amp;R Equipment</t>
  </si>
  <si>
    <t>Factors are based on the cost of meters by class included in Account 381, Meters.</t>
  </si>
  <si>
    <t>Factors are based on the cost of M&amp;R equipment by class included in Account 385, Industrial Measuring and Regulating Equipment.</t>
  </si>
  <si>
    <t>Factors are based on the cost of services by class included in Account 380, Service Lines.</t>
  </si>
  <si>
    <t>FACTOR 8.  ALLOCATION OF COSTS ASSOCIATED WITH SALES EXPENSES.</t>
  </si>
  <si>
    <t>Factors are based on the number of Rate R and Rate N customers.</t>
  </si>
  <si>
    <t>Factors are based on the composite allocation of all mains.</t>
  </si>
  <si>
    <t xml:space="preserve">Office Furniture and Equipment   </t>
  </si>
  <si>
    <t xml:space="preserve">Structures and Improvements      </t>
  </si>
  <si>
    <t>Capital Costs</t>
  </si>
  <si>
    <t>Income Taxes</t>
  </si>
  <si>
    <t>Income Available for Return</t>
  </si>
  <si>
    <t xml:space="preserve">          Total</t>
  </si>
  <si>
    <t>Cost Per Month</t>
  </si>
  <si>
    <t>Demand Costs per MCF</t>
  </si>
  <si>
    <t>CALCULATION OF COSTS RELATED TO LFD AND XD DEMAND CHARGES</t>
  </si>
  <si>
    <t>Demand Volume Units per Month</t>
  </si>
  <si>
    <t>Less:  USP and EEC Recovery</t>
  </si>
  <si>
    <t>FACTOR 6B. ALLOCATION OF COSTS ASSOCIATED WITH INDUSTRIAL MEASURING</t>
  </si>
  <si>
    <t xml:space="preserve">   AND REGULATING EQUIPMENT, ACCOUNT 385.</t>
  </si>
  <si>
    <t>Factors are based on the allocated cost of service excluding those items being allocated.</t>
  </si>
  <si>
    <t xml:space="preserve">  Rate XD Firm</t>
  </si>
  <si>
    <t xml:space="preserve">   Interruptible</t>
  </si>
  <si>
    <t>Compressor Station Fuel and Power</t>
  </si>
  <si>
    <t>FACTOR 4.  ALLOCATION OF COSTS ASSOCIATED WITH LARGE DISTRIBUTION MAINS.</t>
  </si>
  <si>
    <t>Factor 1A</t>
  </si>
  <si>
    <t>PGC and</t>
  </si>
  <si>
    <t>Choice</t>
  </si>
  <si>
    <t>1A</t>
  </si>
  <si>
    <t>Factor 1</t>
  </si>
  <si>
    <t>UGI PENN NATURAL GAS, INC.</t>
  </si>
  <si>
    <t>Class COS- Historic test Year Ended September 30, 2018</t>
  </si>
  <si>
    <t>COST OF SERVICE AS OF SEPTEMBER 30, 2018, AT PROPOSED REVENUE LEVEL ALLOCATED TO</t>
  </si>
  <si>
    <t>MAINS - OTHER</t>
  </si>
  <si>
    <t>MEASURING AND REGULATING EQUIPMENT - GENERAL</t>
  </si>
  <si>
    <t>MEASURING AND REGULATING EQUIPMENT - CITY GATE</t>
  </si>
  <si>
    <t>SERVICES - PLASTIC</t>
  </si>
  <si>
    <t>SERVICES - OTHER</t>
  </si>
  <si>
    <t>METERS - AMR</t>
  </si>
  <si>
    <t>INDUSTRIAL MEASURING AND REGULATING EQUIPMENT</t>
  </si>
  <si>
    <t>OTHER DISTRIBUTION EQUIPMENT</t>
  </si>
  <si>
    <t>OFFICE FURNITURE</t>
  </si>
  <si>
    <t>OFFICE EQUIPMENT</t>
  </si>
  <si>
    <t>COMPUTER EQUIPMENT</t>
  </si>
  <si>
    <t>COMPUTER SOFTWARE - GENERAL</t>
  </si>
  <si>
    <t>COMPUTER SOFTWARE - ORACLE</t>
  </si>
  <si>
    <t>TRANSPORTATION EQUIPMENT</t>
  </si>
  <si>
    <t>STORES EQUIPMENT</t>
  </si>
  <si>
    <t>TELEPHONE SYSTEMS</t>
  </si>
  <si>
    <t>ORGANIZATION</t>
  </si>
  <si>
    <t>FRANCHISE AND CONSENTS</t>
  </si>
  <si>
    <t>LAND</t>
  </si>
  <si>
    <t>LAND RIGHTS</t>
  </si>
  <si>
    <t>LAND (NONDEPRECIABLE)</t>
  </si>
  <si>
    <t xml:space="preserve">TOTAL COMMON PLANT ALLOCATED TO GAS DIVISION - </t>
  </si>
  <si>
    <t>OFFICE FURNITURE AND EQUIPMENT - SYSTEM DEV. COSTS - 10 YEARS</t>
  </si>
  <si>
    <t>OFFICE FURNITURE AND EQUIPMENT - SYSTEM DEV. COSTS - 15 YEARS</t>
  </si>
  <si>
    <t>Less: Empire Building Allocated to Electric Division</t>
  </si>
  <si>
    <t xml:space="preserve">          TOTAL READING SERVICE CENTER ALLOCATED -</t>
  </si>
  <si>
    <t xml:space="preserve">          TOTAL IS SERVICES ALLOCATED TO GAS DIVISION - </t>
  </si>
  <si>
    <t xml:space="preserve">          Total Empire Building Allocated</t>
  </si>
  <si>
    <t>Less: Non-Depreciable</t>
  </si>
  <si>
    <t>&lt;&lt;&lt; Total Future Accruals Column</t>
  </si>
  <si>
    <t>COMMON PLANT ALLOCATED @ 14.89%</t>
  </si>
  <si>
    <t>INFORMATION SERVICES (IS) ALLOCATED @ 28.17%</t>
  </si>
  <si>
    <t>Charged To Clearing Accounts</t>
  </si>
  <si>
    <t>READING SERVICE CENTER ALLOCATED @ 27.49%</t>
  </si>
  <si>
    <t>Empire Bldg. to Electric Div. @ 13.04%</t>
  </si>
  <si>
    <t>Organization</t>
  </si>
  <si>
    <t>Structures And Improvements</t>
  </si>
  <si>
    <t>DEPRECIATION EXPENSE/RATE BASE</t>
  </si>
  <si>
    <t>READING SERVICE CENTER ALLOCATED TO PNG</t>
  </si>
  <si>
    <t>2017-2018</t>
  </si>
  <si>
    <t>2017-2019</t>
  </si>
  <si>
    <t>BY SERVICE CLASSIFICATION FOR THE TWELVE MONTHS ENDED SEPTEMBER 30, 2018</t>
  </si>
  <si>
    <t>Uncollectible Accounts</t>
  </si>
  <si>
    <t>&lt;&lt;DA Small</t>
  </si>
  <si>
    <t>&lt;&lt;DA Large</t>
  </si>
  <si>
    <t>3-Yr. Average</t>
  </si>
  <si>
    <t>of Net Write-offs</t>
  </si>
  <si>
    <t>Storage</t>
  </si>
  <si>
    <t>Over/(Under)</t>
  </si>
  <si>
    <t>=</t>
  </si>
  <si>
    <t>&lt;&lt;Plus gas costs</t>
  </si>
  <si>
    <t>&lt;&lt;Plus PGC Revs.&gt;&gt;</t>
  </si>
  <si>
    <t>381 plus 385</t>
  </si>
  <si>
    <t>&lt;&lt;&lt; proposed revenue exceeds COS.</t>
  </si>
  <si>
    <t>per Customer</t>
  </si>
  <si>
    <t>381 only</t>
  </si>
  <si>
    <t>Regulators</t>
  </si>
  <si>
    <t>Factors are based on the number of weighted house Regulators for customers served.</t>
  </si>
  <si>
    <t>Universal Service Program</t>
  </si>
  <si>
    <t>Energy Efficiency and Conservation Programs</t>
  </si>
  <si>
    <t xml:space="preserve">Energy Efficiency and Conservation </t>
  </si>
  <si>
    <t xml:space="preserve">Employee Pensions and Benefits    </t>
  </si>
  <si>
    <t>MCF/Day</t>
  </si>
  <si>
    <t>FACTORS 1 and 1A.  ALLOCATION OF COSTS WHICH VARY DIRECTLY WITH PGC AND</t>
  </si>
  <si>
    <t xml:space="preserve">  CHOICE SALES.</t>
  </si>
  <si>
    <t>FACTORS 3 and 3A. CALCULATION OF MAXIMUM DAY EXTRA DEMAND FACTORS.</t>
  </si>
  <si>
    <t xml:space="preserve">      by peak day demand excluding XD of 343,699 mcf.  (91,194 / 343,699 = 26.53%)</t>
  </si>
  <si>
    <t>* The weighting of the factors is based on the percentage of average daily throughput excluding XD of 91,194 mcf divided</t>
  </si>
  <si>
    <t>as presented on the following pages.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</si>
</sst>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"/>
    <numFmt numFmtId="165" formatCode="#,##0.0"/>
    <numFmt numFmtId="166" formatCode="[$$-409]#,##0"/>
    <numFmt numFmtId="167" formatCode="&quot;$&quot;#,##0"/>
    <numFmt numFmtId="168" formatCode="0.0"/>
    <numFmt numFmtId="169" formatCode="0.000"/>
    <numFmt numFmtId="170" formatCode="_(* #,##0.0_);_(* \(#,##0.0\);_(* &quot;-&quot;??_);_(@_)"/>
    <numFmt numFmtId="171" formatCode="_(* #,##0_);_(* \(#,##0\);_(* &quot;-&quot;??_);_(@_)"/>
    <numFmt numFmtId="172" formatCode="0.0000"/>
    <numFmt numFmtId="173" formatCode="0.0%"/>
    <numFmt numFmtId="174" formatCode="_(* #,##0.0000_);_(* \(#,##0.0000\);_(* &quot;-&quot;_);_(@_)"/>
    <numFmt numFmtId="175" formatCode="0_);\(0\)"/>
    <numFmt numFmtId="176" formatCode="_(&quot;$&quot;* #,##0_);_(&quot;$&quot;* \(#,##0\);_(&quot;$&quot;* &quot;-&quot;??_);_(@_)"/>
    <numFmt numFmtId="177" formatCode="&quot;$&quot;#,##0.0000_);[Red]\(&quot;$&quot;#,##0.0000\)"/>
    <numFmt numFmtId="178" formatCode="_(* #,##0.00000_);_(* \(#,##0.00000\);_(* &quot;-&quot;??_);_(@_)"/>
    <numFmt numFmtId="179" formatCode="_(* #,##0.0000_);_(* \(#,##0.0000\);_(* &quot;-&quot;??_);_(@_)"/>
  </numFmts>
  <fonts count="56">
    <font>
      <sz val="12"/>
      <name val="Arial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 val="double"/>
      <sz val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/>
      <sz val="10"/>
      <color indexed="12"/>
      <name val="Arial"/>
      <family val="2"/>
    </font>
    <font>
      <b/>
      <sz val="12"/>
      <color indexed="12"/>
      <name val="Arial MT"/>
    </font>
    <font>
      <b/>
      <sz val="10.45"/>
      <color indexed="10"/>
      <name val="Arial"/>
      <family val="2"/>
    </font>
    <font>
      <b/>
      <sz val="11"/>
      <color indexed="16"/>
      <name val="Times New Roman"/>
      <family val="1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name val="Arial"/>
      <family val="2"/>
    </font>
    <font>
      <sz val="12"/>
      <name val="SWISS"/>
    </font>
    <font>
      <sz val="12"/>
      <name val="Arial"/>
      <family val="2"/>
    </font>
    <font>
      <b/>
      <sz val="12"/>
      <name val="SWISS"/>
    </font>
    <font>
      <u/>
      <sz val="12"/>
      <name val="Arial"/>
      <family val="2"/>
    </font>
    <font>
      <b/>
      <u/>
      <sz val="12"/>
      <name val="SWISS"/>
    </font>
    <font>
      <sz val="12"/>
      <color indexed="8"/>
      <name val="Arial"/>
      <family val="2"/>
    </font>
    <font>
      <sz val="12"/>
      <color indexed="14"/>
      <name val="SWISS"/>
    </font>
    <font>
      <sz val="10"/>
      <color indexed="10"/>
      <name val="Arial"/>
      <family val="2"/>
    </font>
    <font>
      <b/>
      <sz val="10.45"/>
      <name val="Arial"/>
      <family val="2"/>
    </font>
    <font>
      <sz val="12"/>
      <name val="Arial"/>
      <family val="2"/>
    </font>
    <font>
      <sz val="10.45"/>
      <name val="Arial"/>
      <family val="2"/>
    </font>
    <font>
      <sz val="12"/>
      <color indexed="10"/>
      <name val="SWISS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rgb="FFFF0000"/>
      <name val="Arial"/>
      <family val="2"/>
    </font>
    <font>
      <u val="double"/>
      <sz val="11"/>
      <name val="Arial"/>
      <family val="2"/>
    </font>
    <font>
      <u val="double"/>
      <sz val="12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3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37" fontId="28" fillId="0" borderId="0"/>
    <xf numFmtId="37" fontId="29" fillId="0" borderId="0"/>
    <xf numFmtId="0" fontId="15" fillId="0" borderId="0"/>
    <xf numFmtId="0" fontId="3" fillId="0" borderId="0"/>
    <xf numFmtId="40" fontId="25" fillId="2" borderId="0">
      <alignment horizontal="right"/>
    </xf>
    <xf numFmtId="0" fontId="27" fillId="2" borderId="0">
      <alignment horizontal="right"/>
    </xf>
    <xf numFmtId="0" fontId="24" fillId="2" borderId="1"/>
    <xf numFmtId="0" fontId="24" fillId="0" borderId="0" applyBorder="0">
      <alignment horizontal="centerContinuous"/>
    </xf>
    <xf numFmtId="0" fontId="26" fillId="0" borderId="0" applyBorder="0">
      <alignment horizontal="centerContinuous"/>
    </xf>
    <xf numFmtId="9" fontId="3" fillId="0" borderId="0" applyFont="0" applyFill="0" applyBorder="0" applyAlignment="0" applyProtection="0"/>
    <xf numFmtId="0" fontId="3" fillId="0" borderId="0"/>
  </cellStyleXfs>
  <cellXfs count="845">
    <xf numFmtId="0" fontId="0" fillId="0" borderId="0" xfId="0"/>
    <xf numFmtId="0" fontId="1" fillId="0" borderId="0" xfId="0" applyNumberFormat="1" applyFont="1" applyAlignment="1"/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Continuous" vertical="top" wrapText="1"/>
    </xf>
    <xf numFmtId="0" fontId="4" fillId="0" borderId="0" xfId="0" applyNumberFormat="1" applyFont="1" applyAlignment="1">
      <alignment horizontal="centerContinuous" vertical="top" wrapText="1"/>
    </xf>
    <xf numFmtId="0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Continuous"/>
    </xf>
    <xf numFmtId="0" fontId="3" fillId="0" borderId="2" xfId="0" applyNumberFormat="1" applyFont="1" applyBorder="1" applyAlignment="1">
      <alignment horizontal="center"/>
    </xf>
    <xf numFmtId="0" fontId="5" fillId="0" borderId="0" xfId="0" applyNumberFormat="1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164" fontId="7" fillId="0" borderId="0" xfId="0" applyNumberFormat="1" applyFont="1" applyAlignment="1"/>
    <xf numFmtId="0" fontId="3" fillId="0" borderId="3" xfId="0" applyNumberFormat="1" applyFont="1" applyBorder="1" applyAlignment="1"/>
    <xf numFmtId="0" fontId="3" fillId="0" borderId="2" xfId="0" applyNumberFormat="1" applyFont="1" applyBorder="1" applyAlignment="1"/>
    <xf numFmtId="0" fontId="0" fillId="0" borderId="0" xfId="0" applyNumberFormat="1"/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/>
    <xf numFmtId="0" fontId="2" fillId="0" borderId="0" xfId="0" applyNumberFormat="1" applyFont="1" applyAlignment="1"/>
    <xf numFmtId="3" fontId="9" fillId="0" borderId="0" xfId="0" applyNumberFormat="1" applyFont="1" applyAlignment="1"/>
    <xf numFmtId="3" fontId="0" fillId="0" borderId="0" xfId="0" applyNumberFormat="1"/>
    <xf numFmtId="0" fontId="0" fillId="0" borderId="3" xfId="0" applyNumberFormat="1" applyBorder="1"/>
    <xf numFmtId="0" fontId="6" fillId="3" borderId="0" xfId="0" applyNumberFormat="1" applyFont="1" applyFill="1" applyAlignment="1"/>
    <xf numFmtId="4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3" fontId="3" fillId="0" borderId="3" xfId="0" applyNumberFormat="1" applyFont="1" applyBorder="1" applyAlignment="1"/>
    <xf numFmtId="0" fontId="3" fillId="0" borderId="0" xfId="0" applyNumberFormat="1" applyFont="1" applyAlignment="1">
      <alignment horizontal="centerContinuous" wrapText="1"/>
    </xf>
    <xf numFmtId="0" fontId="9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41" fontId="1" fillId="0" borderId="0" xfId="0" applyNumberFormat="1" applyFont="1" applyAlignment="1"/>
    <xf numFmtId="41" fontId="3" fillId="0" borderId="0" xfId="0" applyNumberFormat="1" applyFont="1" applyAlignment="1"/>
    <xf numFmtId="0" fontId="12" fillId="0" borderId="0" xfId="0" applyFont="1"/>
    <xf numFmtId="41" fontId="0" fillId="0" borderId="0" xfId="0" applyNumberFormat="1"/>
    <xf numFmtId="0" fontId="0" fillId="0" borderId="0" xfId="0" applyBorder="1"/>
    <xf numFmtId="41" fontId="0" fillId="0" borderId="0" xfId="0" applyNumberFormat="1" applyBorder="1"/>
    <xf numFmtId="41" fontId="0" fillId="0" borderId="4" xfId="0" applyNumberFormat="1" applyBorder="1"/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Border="1" applyAlignment="1">
      <alignment horizontal="center"/>
    </xf>
    <xf numFmtId="3" fontId="1" fillId="0" borderId="0" xfId="0" applyNumberFormat="1" applyFont="1" applyAlignment="1"/>
    <xf numFmtId="0" fontId="0" fillId="0" borderId="0" xfId="0" applyNumberFormat="1" applyBorder="1"/>
    <xf numFmtId="0" fontId="1" fillId="0" borderId="0" xfId="0" applyNumberFormat="1" applyFont="1" applyBorder="1" applyAlignment="1"/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1" fontId="12" fillId="0" borderId="4" xfId="0" applyNumberFormat="1" applyFont="1" applyBorder="1"/>
    <xf numFmtId="0" fontId="12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2" fontId="12" fillId="0" borderId="4" xfId="0" applyNumberFormat="1" applyFont="1" applyBorder="1"/>
    <xf numFmtId="42" fontId="12" fillId="0" borderId="0" xfId="0" applyNumberFormat="1" applyFont="1"/>
    <xf numFmtId="0" fontId="12" fillId="0" borderId="0" xfId="0" applyFont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4" fillId="0" borderId="0" xfId="0" applyFont="1"/>
    <xf numFmtId="41" fontId="12" fillId="0" borderId="0" xfId="0" applyNumberFormat="1" applyFont="1" applyBorder="1"/>
    <xf numFmtId="2" fontId="3" fillId="0" borderId="0" xfId="0" applyNumberFormat="1" applyFont="1" applyAlignment="1"/>
    <xf numFmtId="166" fontId="3" fillId="0" borderId="0" xfId="0" applyNumberFormat="1" applyFont="1" applyAlignment="1"/>
    <xf numFmtId="3" fontId="16" fillId="0" borderId="0" xfId="0" applyNumberFormat="1" applyFont="1" applyAlignment="1"/>
    <xf numFmtId="15" fontId="3" fillId="0" borderId="0" xfId="0" applyNumberFormat="1" applyFont="1" applyAlignment="1">
      <alignment horizontal="left"/>
    </xf>
    <xf numFmtId="3" fontId="16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3" fontId="1" fillId="0" borderId="2" xfId="0" applyNumberFormat="1" applyFont="1" applyBorder="1" applyAlignment="1">
      <alignment horizontal="centerContinuous"/>
    </xf>
    <xf numFmtId="3" fontId="1" fillId="0" borderId="2" xfId="0" applyNumberFormat="1" applyFont="1" applyBorder="1" applyAlignment="1"/>
    <xf numFmtId="3" fontId="1" fillId="0" borderId="2" xfId="0" applyNumberFormat="1" applyFont="1" applyBorder="1" applyAlignment="1" applyProtection="1">
      <alignment horizontal="centerContinuous"/>
      <protection locked="0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66" fontId="1" fillId="0" borderId="0" xfId="0" applyNumberFormat="1" applyFont="1" applyAlignment="1"/>
    <xf numFmtId="173" fontId="1" fillId="0" borderId="0" xfId="0" applyNumberFormat="1" applyFont="1" applyAlignment="1"/>
    <xf numFmtId="3" fontId="1" fillId="0" borderId="3" xfId="0" applyNumberFormat="1" applyFont="1" applyBorder="1" applyAlignment="1"/>
    <xf numFmtId="172" fontId="16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protection locked="0"/>
    </xf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centerContinuous"/>
    </xf>
    <xf numFmtId="166" fontId="1" fillId="0" borderId="0" xfId="0" applyNumberFormat="1" applyFont="1" applyAlignment="1">
      <alignment horizontal="center"/>
    </xf>
    <xf numFmtId="3" fontId="11" fillId="0" borderId="0" xfId="0" applyNumberFormat="1" applyFont="1" applyAlignment="1"/>
    <xf numFmtId="166" fontId="1" fillId="0" borderId="2" xfId="0" applyNumberFormat="1" applyFont="1" applyBorder="1" applyAlignment="1"/>
    <xf numFmtId="169" fontId="1" fillId="0" borderId="0" xfId="0" applyNumberFormat="1" applyFont="1" applyAlignment="1"/>
    <xf numFmtId="1" fontId="1" fillId="0" borderId="0" xfId="0" applyNumberFormat="1" applyFont="1" applyAlignment="1"/>
    <xf numFmtId="172" fontId="3" fillId="0" borderId="0" xfId="0" applyNumberFormat="1" applyFont="1" applyAlignment="1"/>
    <xf numFmtId="3" fontId="1" fillId="0" borderId="0" xfId="0" applyNumberFormat="1" applyFont="1" applyAlignment="1" applyProtection="1">
      <protection locked="0"/>
    </xf>
    <xf numFmtId="10" fontId="1" fillId="0" borderId="0" xfId="0" applyNumberFormat="1" applyFont="1" applyAlignment="1"/>
    <xf numFmtId="2" fontId="1" fillId="0" borderId="0" xfId="0" applyNumberFormat="1" applyFont="1" applyAlignment="1"/>
    <xf numFmtId="172" fontId="1" fillId="0" borderId="0" xfId="0" applyNumberFormat="1" applyFont="1" applyAlignment="1" applyProtection="1">
      <protection locked="0"/>
    </xf>
    <xf numFmtId="172" fontId="1" fillId="0" borderId="0" xfId="0" applyNumberFormat="1" applyFont="1" applyAlignment="1"/>
    <xf numFmtId="172" fontId="3" fillId="0" borderId="0" xfId="0" applyNumberFormat="1" applyFont="1" applyAlignment="1" applyProtection="1">
      <protection locked="0"/>
    </xf>
    <xf numFmtId="3" fontId="12" fillId="0" borderId="0" xfId="0" applyNumberFormat="1" applyFont="1" applyAlignment="1"/>
    <xf numFmtId="15" fontId="1" fillId="0" borderId="0" xfId="0" applyNumberFormat="1" applyFont="1" applyAlignment="1">
      <alignment horizontal="left"/>
    </xf>
    <xf numFmtId="37" fontId="1" fillId="0" borderId="2" xfId="0" applyNumberFormat="1" applyFont="1" applyBorder="1" applyAlignment="1">
      <alignment horizontal="center"/>
    </xf>
    <xf numFmtId="41" fontId="1" fillId="0" borderId="2" xfId="0" applyNumberFormat="1" applyFont="1" applyBorder="1" applyAlignment="1"/>
    <xf numFmtId="42" fontId="1" fillId="0" borderId="0" xfId="0" applyNumberFormat="1" applyFont="1" applyAlignment="1"/>
    <xf numFmtId="41" fontId="1" fillId="0" borderId="0" xfId="0" applyNumberFormat="1" applyFont="1" applyAlignment="1" applyProtection="1">
      <protection locked="0"/>
    </xf>
    <xf numFmtId="3" fontId="19" fillId="0" borderId="0" xfId="0" applyNumberFormat="1" applyFont="1" applyAlignment="1"/>
    <xf numFmtId="0" fontId="1" fillId="0" borderId="0" xfId="0" applyFont="1"/>
    <xf numFmtId="0" fontId="1" fillId="0" borderId="0" xfId="0" applyFont="1" applyFill="1" applyBorder="1"/>
    <xf numFmtId="0" fontId="18" fillId="0" borderId="0" xfId="0" applyFont="1"/>
    <xf numFmtId="0" fontId="1" fillId="0" borderId="0" xfId="0" applyFont="1" applyFill="1" applyBorder="1" applyAlignment="1">
      <alignment horizontal="right"/>
    </xf>
    <xf numFmtId="44" fontId="12" fillId="0" borderId="0" xfId="0" applyNumberFormat="1" applyFont="1" applyAlignment="1"/>
    <xf numFmtId="3" fontId="20" fillId="0" borderId="0" xfId="0" applyNumberFormat="1" applyFont="1" applyAlignment="1"/>
    <xf numFmtId="3" fontId="13" fillId="0" borderId="0" xfId="0" applyNumberFormat="1" applyFont="1" applyAlignment="1">
      <alignment horizontal="centerContinuous"/>
    </xf>
    <xf numFmtId="3" fontId="17" fillId="0" borderId="0" xfId="0" applyNumberFormat="1" applyFont="1" applyAlignment="1">
      <alignment horizontal="centerContinuous"/>
    </xf>
    <xf numFmtId="3" fontId="17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left"/>
    </xf>
    <xf numFmtId="3" fontId="22" fillId="0" borderId="0" xfId="0" applyNumberFormat="1" applyFont="1" applyAlignment="1">
      <alignment horizontal="centerContinuous"/>
    </xf>
    <xf numFmtId="0" fontId="23" fillId="0" borderId="0" xfId="0" applyFont="1"/>
    <xf numFmtId="0" fontId="14" fillId="0" borderId="0" xfId="0" applyFont="1" applyBorder="1"/>
    <xf numFmtId="171" fontId="0" fillId="0" borderId="0" xfId="1" applyNumberFormat="1" applyFont="1"/>
    <xf numFmtId="0" fontId="30" fillId="0" borderId="0" xfId="0" applyFont="1" applyFill="1"/>
    <xf numFmtId="37" fontId="30" fillId="0" borderId="0" xfId="5" applyNumberFormat="1" applyFont="1" applyFill="1" applyProtection="1"/>
    <xf numFmtId="37" fontId="31" fillId="0" borderId="0" xfId="5" applyFont="1" applyFill="1" applyProtection="1"/>
    <xf numFmtId="0" fontId="0" fillId="0" borderId="0" xfId="0" applyFill="1"/>
    <xf numFmtId="37" fontId="29" fillId="0" borderId="0" xfId="5" applyFont="1" applyFill="1" applyProtection="1"/>
    <xf numFmtId="37" fontId="29" fillId="0" borderId="0" xfId="5"/>
    <xf numFmtId="37" fontId="12" fillId="0" borderId="0" xfId="5" applyFont="1" applyFill="1" applyAlignment="1" applyProtection="1">
      <alignment horizontal="centerContinuous"/>
      <protection locked="0"/>
    </xf>
    <xf numFmtId="0" fontId="30" fillId="0" borderId="0" xfId="0" applyFont="1"/>
    <xf numFmtId="37" fontId="12" fillId="0" borderId="0" xfId="5" applyNumberFormat="1" applyFont="1" applyFill="1" applyAlignment="1" applyProtection="1">
      <alignment horizontal="centerContinuous"/>
    </xf>
    <xf numFmtId="37" fontId="12" fillId="0" borderId="0" xfId="5" applyNumberFormat="1" applyFont="1" applyAlignment="1" applyProtection="1">
      <alignment horizontal="center"/>
    </xf>
    <xf numFmtId="37" fontId="30" fillId="0" borderId="0" xfId="5" applyFont="1" applyFill="1"/>
    <xf numFmtId="37" fontId="30" fillId="0" borderId="0" xfId="5" applyNumberFormat="1" applyFont="1" applyFill="1" applyAlignment="1" applyProtection="1">
      <alignment horizontal="center"/>
    </xf>
    <xf numFmtId="37" fontId="30" fillId="0" borderId="0" xfId="5" applyNumberFormat="1" applyFont="1" applyProtection="1"/>
    <xf numFmtId="37" fontId="30" fillId="0" borderId="0" xfId="5" applyNumberFormat="1" applyFont="1" applyAlignment="1" applyProtection="1">
      <alignment horizontal="center"/>
    </xf>
    <xf numFmtId="37" fontId="32" fillId="0" borderId="0" xfId="5" applyNumberFormat="1" applyFont="1" applyFill="1" applyProtection="1"/>
    <xf numFmtId="37" fontId="30" fillId="0" borderId="0" xfId="5" applyFont="1" applyFill="1" applyProtection="1"/>
    <xf numFmtId="37" fontId="29" fillId="0" borderId="0" xfId="5" applyFont="1" applyFill="1" applyAlignment="1">
      <alignment horizontal="center"/>
    </xf>
    <xf numFmtId="37" fontId="29" fillId="0" borderId="0" xfId="5" applyFont="1" applyFill="1"/>
    <xf numFmtId="37" fontId="29" fillId="0" borderId="0" xfId="5" applyFont="1"/>
    <xf numFmtId="37" fontId="30" fillId="0" borderId="0" xfId="5" applyFont="1" applyFill="1" applyAlignment="1">
      <alignment horizontal="center"/>
    </xf>
    <xf numFmtId="37" fontId="34" fillId="0" borderId="0" xfId="5" applyNumberFormat="1" applyFont="1" applyProtection="1"/>
    <xf numFmtId="37" fontId="30" fillId="0" borderId="0" xfId="5" applyNumberFormat="1" applyFont="1" applyFill="1" applyProtection="1">
      <protection locked="0"/>
    </xf>
    <xf numFmtId="37" fontId="29" fillId="0" borderId="0" xfId="5" applyNumberFormat="1" applyFont="1" applyProtection="1"/>
    <xf numFmtId="37" fontId="30" fillId="0" borderId="5" xfId="5" applyNumberFormat="1" applyFont="1" applyFill="1" applyBorder="1" applyProtection="1">
      <protection locked="0"/>
    </xf>
    <xf numFmtId="37" fontId="12" fillId="0" borderId="0" xfId="5" applyNumberFormat="1" applyFont="1" applyFill="1" applyProtection="1"/>
    <xf numFmtId="0" fontId="30" fillId="0" borderId="0" xfId="0" applyFont="1" applyAlignment="1">
      <alignment horizontal="center"/>
    </xf>
    <xf numFmtId="37" fontId="30" fillId="0" borderId="5" xfId="0" applyNumberFormat="1" applyFont="1" applyBorder="1"/>
    <xf numFmtId="37" fontId="0" fillId="0" borderId="0" xfId="0" applyNumberFormat="1" applyFill="1"/>
    <xf numFmtId="37" fontId="30" fillId="0" borderId="0" xfId="0" applyNumberFormat="1" applyFont="1"/>
    <xf numFmtId="37" fontId="34" fillId="0" borderId="0" xfId="5" applyFont="1" applyFill="1" applyAlignment="1">
      <alignment horizontal="center"/>
    </xf>
    <xf numFmtId="37" fontId="30" fillId="0" borderId="0" xfId="0" applyNumberFormat="1" applyFont="1" applyFill="1"/>
    <xf numFmtId="37" fontId="34" fillId="0" borderId="0" xfId="5" applyNumberFormat="1" applyFont="1" applyFill="1" applyProtection="1"/>
    <xf numFmtId="37" fontId="34" fillId="0" borderId="0" xfId="5" applyNumberFormat="1" applyFont="1" applyFill="1" applyAlignment="1" applyProtection="1">
      <alignment horizontal="center"/>
    </xf>
    <xf numFmtId="37" fontId="34" fillId="0" borderId="5" xfId="5" applyNumberFormat="1" applyFont="1" applyFill="1" applyBorder="1" applyProtection="1"/>
    <xf numFmtId="0" fontId="30" fillId="0" borderId="0" xfId="0" applyFont="1" applyFill="1" applyAlignment="1">
      <alignment horizontal="center"/>
    </xf>
    <xf numFmtId="37" fontId="30" fillId="0" borderId="0" xfId="5" quotePrefix="1" applyFont="1" applyFill="1" applyAlignment="1">
      <alignment horizontal="center"/>
    </xf>
    <xf numFmtId="37" fontId="30" fillId="0" borderId="0" xfId="4" applyFont="1" applyFill="1" applyAlignment="1">
      <alignment horizontal="center"/>
    </xf>
    <xf numFmtId="3" fontId="30" fillId="0" borderId="0" xfId="5" quotePrefix="1" applyNumberFormat="1" applyFont="1" applyFill="1" applyAlignment="1">
      <alignment horizontal="center"/>
    </xf>
    <xf numFmtId="37" fontId="35" fillId="0" borderId="0" xfId="5" applyNumberFormat="1" applyFont="1" applyFill="1" applyProtection="1">
      <protection locked="0"/>
    </xf>
    <xf numFmtId="0" fontId="30" fillId="0" borderId="0" xfId="0" applyFont="1" applyFill="1" applyBorder="1"/>
    <xf numFmtId="37" fontId="30" fillId="0" borderId="0" xfId="5" applyFont="1" applyFill="1" applyBorder="1" applyProtection="1"/>
    <xf numFmtId="37" fontId="30" fillId="0" borderId="0" xfId="5" applyNumberFormat="1" applyFont="1" applyFill="1" applyBorder="1" applyProtection="1"/>
    <xf numFmtId="37" fontId="29" fillId="0" borderId="0" xfId="5" applyFill="1" applyBorder="1"/>
    <xf numFmtId="37" fontId="30" fillId="0" borderId="0" xfId="4" applyNumberFormat="1" applyFont="1" applyFill="1" applyBorder="1" applyProtection="1"/>
    <xf numFmtId="37" fontId="29" fillId="0" borderId="0" xfId="5" applyFont="1" applyFill="1" applyBorder="1"/>
    <xf numFmtId="37" fontId="34" fillId="0" borderId="0" xfId="5" applyNumberFormat="1" applyFont="1" applyFill="1" applyBorder="1" applyProtection="1"/>
    <xf numFmtId="176" fontId="30" fillId="0" borderId="6" xfId="2" applyNumberFormat="1" applyFont="1" applyFill="1" applyBorder="1" applyProtection="1"/>
    <xf numFmtId="37" fontId="34" fillId="0" borderId="0" xfId="5" quotePrefix="1" applyFont="1" applyFill="1" applyAlignment="1">
      <alignment horizontal="center"/>
    </xf>
    <xf numFmtId="37" fontId="30" fillId="0" borderId="0" xfId="5" quotePrefix="1" applyNumberFormat="1" applyFont="1" applyFill="1" applyAlignment="1">
      <alignment horizontal="center"/>
    </xf>
    <xf numFmtId="0" fontId="34" fillId="0" borderId="0" xfId="6" applyFont="1" applyFill="1" applyAlignment="1">
      <alignment horizontal="left"/>
    </xf>
    <xf numFmtId="1" fontId="34" fillId="0" borderId="0" xfId="6" applyNumberFormat="1" applyFont="1" applyFill="1" applyAlignment="1">
      <alignment horizontal="center"/>
    </xf>
    <xf numFmtId="37" fontId="30" fillId="0" borderId="5" xfId="5" applyNumberFormat="1" applyFont="1" applyFill="1" applyBorder="1" applyProtection="1"/>
    <xf numFmtId="37" fontId="30" fillId="0" borderId="0" xfId="4" applyNumberFormat="1" applyFont="1" applyFill="1" applyProtection="1"/>
    <xf numFmtId="37" fontId="34" fillId="0" borderId="0" xfId="4" applyNumberFormat="1" applyFont="1" applyFill="1" applyProtection="1"/>
    <xf numFmtId="37" fontId="30" fillId="0" borderId="4" xfId="5" applyNumberFormat="1" applyFont="1" applyFill="1" applyBorder="1" applyProtection="1"/>
    <xf numFmtId="10" fontId="30" fillId="0" borderId="0" xfId="5" applyNumberFormat="1" applyFont="1" applyFill="1" applyProtection="1"/>
    <xf numFmtId="37" fontId="30" fillId="0" borderId="0" xfId="5" applyFont="1" applyFill="1" applyAlignment="1" applyProtection="1">
      <alignment horizontal="center"/>
      <protection locked="0"/>
    </xf>
    <xf numFmtId="37" fontId="29" fillId="0" borderId="0" xfId="5" applyNumberFormat="1" applyFont="1" applyFill="1" applyProtection="1"/>
    <xf numFmtId="37" fontId="12" fillId="0" borderId="0" xfId="5" applyFont="1" applyFill="1" applyAlignment="1">
      <alignment horizontal="center"/>
    </xf>
    <xf numFmtId="37" fontId="30" fillId="0" borderId="0" xfId="5" applyFont="1" applyFill="1" applyAlignment="1" applyProtection="1">
      <alignment horizontal="centerContinuous"/>
    </xf>
    <xf numFmtId="0" fontId="0" fillId="4" borderId="0" xfId="0" applyFill="1"/>
    <xf numFmtId="37" fontId="30" fillId="0" borderId="0" xfId="5" applyNumberFormat="1" applyFont="1" applyFill="1" applyBorder="1" applyProtection="1">
      <protection locked="0"/>
    </xf>
    <xf numFmtId="37" fontId="29" fillId="0" borderId="0" xfId="5" applyFill="1" applyAlignment="1">
      <alignment horizontal="center"/>
    </xf>
    <xf numFmtId="37" fontId="29" fillId="0" borderId="0" xfId="5" applyFill="1"/>
    <xf numFmtId="41" fontId="0" fillId="0" borderId="0" xfId="0" applyNumberFormat="1" applyFill="1"/>
    <xf numFmtId="37" fontId="30" fillId="0" borderId="0" xfId="4" applyFont="1" applyFill="1" applyProtection="1"/>
    <xf numFmtId="171" fontId="0" fillId="0" borderId="0" xfId="1" applyNumberFormat="1" applyFont="1" applyFill="1"/>
    <xf numFmtId="3" fontId="36" fillId="0" borderId="0" xfId="0" applyNumberFormat="1" applyFont="1" applyAlignment="1"/>
    <xf numFmtId="0" fontId="36" fillId="0" borderId="0" xfId="0" applyNumberFormat="1" applyFont="1" applyAlignment="1"/>
    <xf numFmtId="42" fontId="12" fillId="0" borderId="0" xfId="0" applyNumberFormat="1" applyFont="1" applyBorder="1"/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Continuous"/>
    </xf>
    <xf numFmtId="3" fontId="3" fillId="0" borderId="0" xfId="0" applyNumberFormat="1" applyFont="1" applyBorder="1" applyAlignment="1"/>
    <xf numFmtId="164" fontId="3" fillId="0" borderId="0" xfId="0" applyNumberFormat="1" applyFont="1" applyBorder="1" applyAlignment="1"/>
    <xf numFmtId="164" fontId="3" fillId="0" borderId="4" xfId="0" applyNumberFormat="1" applyFont="1" applyBorder="1" applyAlignment="1"/>
    <xf numFmtId="0" fontId="8" fillId="0" borderId="0" xfId="0" applyNumberFormat="1" applyFont="1" applyBorder="1" applyAlignment="1">
      <alignment horizontal="left" vertical="top"/>
    </xf>
    <xf numFmtId="0" fontId="13" fillId="0" borderId="0" xfId="0" applyNumberFormat="1" applyFont="1" applyBorder="1" applyAlignment="1">
      <alignment horizontal="centerContinuous" vertical="top" wrapText="1"/>
    </xf>
    <xf numFmtId="0" fontId="8" fillId="0" borderId="0" xfId="0" applyNumberFormat="1" applyFont="1" applyBorder="1" applyAlignment="1">
      <alignment horizontal="centerContinuous" vertical="top" wrapText="1"/>
    </xf>
    <xf numFmtId="0" fontId="8" fillId="0" borderId="0" xfId="0" applyNumberFormat="1" applyFont="1" applyBorder="1" applyAlignment="1"/>
    <xf numFmtId="0" fontId="8" fillId="0" borderId="0" xfId="0" applyNumberFormat="1" applyFont="1" applyBorder="1" applyAlignment="1">
      <alignment horizontal="centerContinuous"/>
    </xf>
    <xf numFmtId="0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/>
    <xf numFmtId="0" fontId="21" fillId="0" borderId="0" xfId="0" applyNumberFormat="1" applyFont="1" applyBorder="1" applyAlignment="1"/>
    <xf numFmtId="0" fontId="3" fillId="0" borderId="0" xfId="0" applyNumberFormat="1" applyFont="1" applyBorder="1" applyAlignment="1"/>
    <xf numFmtId="164" fontId="8" fillId="0" borderId="0" xfId="0" applyNumberFormat="1" applyFont="1" applyBorder="1" applyAlignment="1" applyProtection="1">
      <protection locked="0"/>
    </xf>
    <xf numFmtId="3" fontId="1" fillId="0" borderId="0" xfId="0" applyNumberFormat="1" applyFont="1" applyBorder="1" applyAlignment="1"/>
    <xf numFmtId="10" fontId="3" fillId="0" borderId="0" xfId="0" applyNumberFormat="1" applyFont="1" applyBorder="1" applyAlignment="1"/>
    <xf numFmtId="175" fontId="3" fillId="0" borderId="0" xfId="0" applyNumberFormat="1" applyFont="1" applyBorder="1" applyAlignment="1">
      <alignment horizontal="center"/>
    </xf>
    <xf numFmtId="41" fontId="1" fillId="0" borderId="0" xfId="0" applyNumberFormat="1" applyFont="1"/>
    <xf numFmtId="0" fontId="37" fillId="0" borderId="0" xfId="0" applyFont="1"/>
    <xf numFmtId="0" fontId="38" fillId="0" borderId="0" xfId="0" applyFont="1"/>
    <xf numFmtId="0" fontId="38" fillId="0" borderId="0" xfId="0" applyFont="1" applyBorder="1"/>
    <xf numFmtId="0" fontId="38" fillId="5" borderId="7" xfId="0" applyFont="1" applyFill="1" applyBorder="1"/>
    <xf numFmtId="0" fontId="38" fillId="5" borderId="8" xfId="0" applyFont="1" applyFill="1" applyBorder="1"/>
    <xf numFmtId="37" fontId="38" fillId="0" borderId="0" xfId="0" applyNumberFormat="1" applyFont="1" applyBorder="1" applyAlignment="1">
      <alignment horizontal="center"/>
    </xf>
    <xf numFmtId="37" fontId="38" fillId="0" borderId="0" xfId="0" applyNumberFormat="1" applyFont="1"/>
    <xf numFmtId="41" fontId="38" fillId="0" borderId="0" xfId="0" applyNumberFormat="1" applyFont="1"/>
    <xf numFmtId="171" fontId="38" fillId="0" borderId="0" xfId="0" applyNumberFormat="1" applyFont="1"/>
    <xf numFmtId="1" fontId="38" fillId="0" borderId="0" xfId="0" applyNumberFormat="1" applyFont="1"/>
    <xf numFmtId="40" fontId="38" fillId="0" borderId="0" xfId="0" applyNumberFormat="1" applyFont="1"/>
    <xf numFmtId="0" fontId="38" fillId="0" borderId="0" xfId="0" applyFont="1" applyAlignment="1">
      <alignment horizontal="center"/>
    </xf>
    <xf numFmtId="41" fontId="38" fillId="0" borderId="4" xfId="0" applyNumberFormat="1" applyFont="1" applyBorder="1"/>
    <xf numFmtId="171" fontId="38" fillId="0" borderId="4" xfId="0" applyNumberFormat="1" applyFont="1" applyBorder="1"/>
    <xf numFmtId="171" fontId="38" fillId="0" borderId="0" xfId="0" applyNumberFormat="1" applyFont="1" applyBorder="1"/>
    <xf numFmtId="41" fontId="38" fillId="0" borderId="0" xfId="0" applyNumberFormat="1" applyFont="1" applyBorder="1"/>
    <xf numFmtId="0" fontId="38" fillId="0" borderId="0" xfId="0" applyFont="1" applyBorder="1" applyAlignment="1">
      <alignment horizontal="center"/>
    </xf>
    <xf numFmtId="171" fontId="38" fillId="0" borderId="0" xfId="1" applyNumberFormat="1" applyFont="1"/>
    <xf numFmtId="0" fontId="16" fillId="0" borderId="0" xfId="0" applyFont="1"/>
    <xf numFmtId="0" fontId="38" fillId="0" borderId="4" xfId="0" applyFont="1" applyBorder="1" applyAlignment="1">
      <alignment horizontal="center"/>
    </xf>
    <xf numFmtId="172" fontId="38" fillId="0" borderId="0" xfId="0" applyNumberFormat="1" applyFont="1"/>
    <xf numFmtId="174" fontId="38" fillId="0" borderId="0" xfId="0" applyNumberFormat="1" applyFont="1"/>
    <xf numFmtId="0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/>
    <xf numFmtId="171" fontId="3" fillId="0" borderId="0" xfId="1" applyNumberFormat="1" applyFont="1" applyAlignment="1"/>
    <xf numFmtId="171" fontId="3" fillId="0" borderId="4" xfId="1" applyNumberFormat="1" applyFont="1" applyBorder="1" applyAlignment="1"/>
    <xf numFmtId="0" fontId="9" fillId="0" borderId="0" xfId="0" applyNumberFormat="1" applyFont="1" applyBorder="1" applyAlignment="1"/>
    <xf numFmtId="0" fontId="4" fillId="0" borderId="0" xfId="0" applyNumberFormat="1" applyFont="1" applyAlignment="1"/>
    <xf numFmtId="0" fontId="38" fillId="0" borderId="0" xfId="0" applyNumberFormat="1" applyFont="1" applyAlignment="1"/>
    <xf numFmtId="0" fontId="1" fillId="0" borderId="0" xfId="0" applyFont="1" applyAlignment="1">
      <alignment horizontal="center"/>
    </xf>
    <xf numFmtId="171" fontId="1" fillId="0" borderId="0" xfId="0" applyNumberFormat="1" applyFont="1"/>
    <xf numFmtId="0" fontId="6" fillId="0" borderId="0" xfId="0" applyFont="1" applyFill="1" applyBorder="1" applyAlignment="1">
      <alignment horizontal="left" vertical="top"/>
    </xf>
    <xf numFmtId="0" fontId="3" fillId="0" borderId="0" xfId="3" applyNumberFormat="1" applyFont="1" applyAlignment="1">
      <alignment horizontal="centerContinuous"/>
    </xf>
    <xf numFmtId="0" fontId="3" fillId="0" borderId="0" xfId="3" applyNumberFormat="1" applyFont="1" applyAlignment="1"/>
    <xf numFmtId="0" fontId="3" fillId="0" borderId="0" xfId="0" applyFont="1"/>
    <xf numFmtId="0" fontId="9" fillId="0" borderId="0" xfId="0" applyFont="1"/>
    <xf numFmtId="3" fontId="9" fillId="0" borderId="0" xfId="0" applyNumberFormat="1" applyFont="1" applyBorder="1" applyAlignment="1"/>
    <xf numFmtId="0" fontId="9" fillId="0" borderId="0" xfId="0" applyFont="1" applyBorder="1"/>
    <xf numFmtId="173" fontId="1" fillId="0" borderId="0" xfId="0" applyNumberFormat="1" applyFont="1" applyBorder="1" applyAlignment="1"/>
    <xf numFmtId="3" fontId="1" fillId="0" borderId="4" xfId="0" applyNumberFormat="1" applyFont="1" applyBorder="1" applyAlignment="1"/>
    <xf numFmtId="37" fontId="1" fillId="0" borderId="0" xfId="0" applyNumberFormat="1" applyFont="1" applyAlignment="1"/>
    <xf numFmtId="167" fontId="3" fillId="0" borderId="0" xfId="0" applyNumberFormat="1" applyFont="1" applyBorder="1" applyAlignment="1"/>
    <xf numFmtId="171" fontId="0" fillId="0" borderId="0" xfId="1" applyNumberFormat="1" applyFont="1" applyFill="1" applyBorder="1"/>
    <xf numFmtId="171" fontId="0" fillId="0" borderId="4" xfId="1" applyNumberFormat="1" applyFont="1" applyFill="1" applyBorder="1"/>
    <xf numFmtId="171" fontId="0" fillId="0" borderId="5" xfId="1" applyNumberFormat="1" applyFont="1" applyFill="1" applyBorder="1"/>
    <xf numFmtId="172" fontId="1" fillId="0" borderId="0" xfId="0" applyNumberFormat="1" applyFont="1"/>
    <xf numFmtId="41" fontId="3" fillId="0" borderId="0" xfId="0" applyNumberFormat="1" applyFont="1" applyBorder="1" applyAlignment="1"/>
    <xf numFmtId="169" fontId="1" fillId="0" borderId="0" xfId="0" applyNumberFormat="1" applyFont="1" applyBorder="1" applyAlignment="1"/>
    <xf numFmtId="166" fontId="3" fillId="0" borderId="0" xfId="0" applyNumberFormat="1" applyFont="1" applyBorder="1" applyAlignment="1"/>
    <xf numFmtId="172" fontId="3" fillId="0" borderId="0" xfId="0" applyNumberFormat="1" applyFont="1" applyBorder="1" applyAlignment="1"/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166" fontId="3" fillId="0" borderId="0" xfId="0" applyNumberFormat="1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 applyProtection="1">
      <alignment horizontal="centerContinuous"/>
      <protection locked="0"/>
    </xf>
    <xf numFmtId="3" fontId="5" fillId="0" borderId="0" xfId="0" applyNumberFormat="1" applyFont="1" applyBorder="1" applyAlignment="1"/>
    <xf numFmtId="166" fontId="1" fillId="0" borderId="0" xfId="0" applyNumberFormat="1" applyFont="1" applyBorder="1" applyAlignment="1"/>
    <xf numFmtId="41" fontId="1" fillId="0" borderId="0" xfId="0" applyNumberFormat="1" applyFont="1" applyBorder="1" applyAlignment="1"/>
    <xf numFmtId="10" fontId="1" fillId="0" borderId="0" xfId="0" applyNumberFormat="1" applyFont="1" applyBorder="1" applyAlignment="1"/>
    <xf numFmtId="2" fontId="1" fillId="0" borderId="0" xfId="0" applyNumberFormat="1" applyFont="1" applyBorder="1" applyAlignment="1"/>
    <xf numFmtId="0" fontId="1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/>
    <xf numFmtId="41" fontId="1" fillId="0" borderId="4" xfId="0" applyNumberFormat="1" applyFont="1" applyBorder="1" applyAlignment="1"/>
    <xf numFmtId="0" fontId="0" fillId="0" borderId="4" xfId="0" applyBorder="1"/>
    <xf numFmtId="3" fontId="8" fillId="0" borderId="0" xfId="0" applyNumberFormat="1" applyFont="1" applyBorder="1" applyAlignment="1">
      <alignment horizontal="centerContinuous"/>
    </xf>
    <xf numFmtId="3" fontId="8" fillId="0" borderId="0" xfId="0" applyNumberFormat="1" applyFont="1" applyBorder="1" applyAlignment="1"/>
    <xf numFmtId="3" fontId="13" fillId="0" borderId="0" xfId="0" applyNumberFormat="1" applyFont="1" applyBorder="1" applyAlignment="1">
      <alignment horizontal="centerContinuous"/>
    </xf>
    <xf numFmtId="166" fontId="13" fillId="0" borderId="0" xfId="0" applyNumberFormat="1" applyFont="1" applyBorder="1" applyAlignment="1">
      <alignment horizontal="centerContinuous"/>
    </xf>
    <xf numFmtId="169" fontId="13" fillId="0" borderId="0" xfId="0" applyNumberFormat="1" applyFont="1" applyBorder="1" applyAlignment="1"/>
    <xf numFmtId="0" fontId="18" fillId="0" borderId="0" xfId="0" applyFont="1" applyBorder="1"/>
    <xf numFmtId="3" fontId="1" fillId="0" borderId="0" xfId="0" applyNumberFormat="1" applyFont="1" applyBorder="1" applyAlignment="1">
      <alignment horizontal="left"/>
    </xf>
    <xf numFmtId="173" fontId="1" fillId="0" borderId="0" xfId="13" applyNumberFormat="1" applyFont="1" applyAlignment="1">
      <alignment horizontal="left"/>
    </xf>
    <xf numFmtId="41" fontId="1" fillId="0" borderId="0" xfId="0" applyNumberFormat="1" applyFont="1" applyFill="1" applyAlignment="1"/>
    <xf numFmtId="0" fontId="38" fillId="0" borderId="0" xfId="0" applyFont="1" applyFill="1"/>
    <xf numFmtId="3" fontId="1" fillId="0" borderId="0" xfId="0" applyNumberFormat="1" applyFont="1" applyFill="1" applyAlignment="1"/>
    <xf numFmtId="41" fontId="1" fillId="0" borderId="0" xfId="0" applyNumberFormat="1" applyFont="1" applyFill="1" applyBorder="1" applyAlignment="1"/>
    <xf numFmtId="0" fontId="1" fillId="0" borderId="0" xfId="0" applyNumberFormat="1" applyFont="1" applyFill="1" applyAlignment="1"/>
    <xf numFmtId="41" fontId="1" fillId="0" borderId="4" xfId="0" applyNumberFormat="1" applyFont="1" applyFill="1" applyBorder="1" applyAlignment="1"/>
    <xf numFmtId="0" fontId="1" fillId="0" borderId="4" xfId="0" applyNumberFormat="1" applyFont="1" applyBorder="1" applyAlignment="1"/>
    <xf numFmtId="3" fontId="3" fillId="0" borderId="0" xfId="0" applyNumberFormat="1" applyFont="1" applyFill="1" applyAlignment="1"/>
    <xf numFmtId="171" fontId="1" fillId="0" borderId="0" xfId="1" applyNumberFormat="1" applyFont="1" applyAlignment="1"/>
    <xf numFmtId="171" fontId="3" fillId="0" borderId="0" xfId="1" applyNumberFormat="1" applyFont="1" applyAlignment="1">
      <alignment horizontal="centerContinuous"/>
    </xf>
    <xf numFmtId="171" fontId="3" fillId="0" borderId="0" xfId="1" applyNumberFormat="1" applyFont="1" applyBorder="1" applyAlignment="1">
      <alignment horizontal="center"/>
    </xf>
    <xf numFmtId="167" fontId="1" fillId="0" borderId="6" xfId="0" applyNumberFormat="1" applyFont="1" applyBorder="1" applyAlignment="1"/>
    <xf numFmtId="171" fontId="3" fillId="0" borderId="0" xfId="1" applyNumberFormat="1" applyFont="1" applyBorder="1" applyAlignment="1"/>
    <xf numFmtId="0" fontId="2" fillId="0" borderId="0" xfId="0" applyNumberFormat="1" applyFont="1" applyBorder="1" applyAlignment="1">
      <alignment horizontal="center"/>
    </xf>
    <xf numFmtId="171" fontId="3" fillId="0" borderId="0" xfId="0" applyNumberFormat="1" applyFont="1" applyBorder="1" applyAlignment="1"/>
    <xf numFmtId="43" fontId="9" fillId="0" borderId="0" xfId="0" applyNumberFormat="1" applyFont="1" applyBorder="1" applyAlignment="1"/>
    <xf numFmtId="171" fontId="1" fillId="0" borderId="0" xfId="0" applyNumberFormat="1" applyFont="1" applyBorder="1" applyAlignment="1"/>
    <xf numFmtId="3" fontId="15" fillId="0" borderId="0" xfId="0" applyNumberFormat="1" applyFont="1" applyAlignment="1">
      <alignment horizontal="centerContinuous"/>
    </xf>
    <xf numFmtId="3" fontId="38" fillId="0" borderId="0" xfId="0" applyNumberFormat="1" applyFont="1" applyAlignment="1">
      <alignment horizontal="centerContinuous"/>
    </xf>
    <xf numFmtId="10" fontId="1" fillId="0" borderId="0" xfId="13" applyNumberFormat="1" applyFont="1" applyAlignment="1"/>
    <xf numFmtId="177" fontId="30" fillId="0" borderId="0" xfId="7" applyNumberFormat="1" applyFont="1" applyFill="1" applyProtection="1">
      <protection locked="0"/>
    </xf>
    <xf numFmtId="175" fontId="3" fillId="0" borderId="2" xfId="0" applyNumberFormat="1" applyFont="1" applyBorder="1" applyAlignment="1">
      <alignment horizontal="centerContinuous"/>
    </xf>
    <xf numFmtId="0" fontId="3" fillId="0" borderId="0" xfId="0" applyNumberFormat="1" applyFont="1" applyAlignment="1">
      <alignment horizontal="justify" vertical="top" wrapText="1"/>
    </xf>
    <xf numFmtId="167" fontId="3" fillId="0" borderId="6" xfId="0" applyNumberFormat="1" applyFont="1" applyBorder="1" applyAlignment="1"/>
    <xf numFmtId="41" fontId="1" fillId="0" borderId="4" xfId="0" applyNumberFormat="1" applyFont="1" applyBorder="1"/>
    <xf numFmtId="41" fontId="1" fillId="0" borderId="0" xfId="0" applyNumberFormat="1" applyFont="1" applyBorder="1"/>
    <xf numFmtId="37" fontId="41" fillId="0" borderId="0" xfId="5" applyNumberFormat="1" applyFont="1" applyFill="1" applyAlignment="1" applyProtection="1">
      <alignment horizontal="center"/>
    </xf>
    <xf numFmtId="37" fontId="41" fillId="0" borderId="0" xfId="5" applyNumberFormat="1" applyFont="1" applyFill="1" applyProtection="1"/>
    <xf numFmtId="37" fontId="41" fillId="0" borderId="0" xfId="5" applyFont="1" applyFill="1" applyAlignment="1">
      <alignment horizontal="center"/>
    </xf>
    <xf numFmtId="171" fontId="30" fillId="0" borderId="0" xfId="1" applyNumberFormat="1" applyFont="1" applyFill="1" applyProtection="1"/>
    <xf numFmtId="171" fontId="30" fillId="0" borderId="4" xfId="1" applyNumberFormat="1" applyFont="1" applyFill="1" applyBorder="1" applyProtection="1"/>
    <xf numFmtId="171" fontId="30" fillId="0" borderId="0" xfId="1" applyNumberFormat="1" applyFont="1" applyFill="1" applyBorder="1"/>
    <xf numFmtId="37" fontId="38" fillId="0" borderId="0" xfId="0" applyNumberFormat="1" applyFont="1" applyFill="1"/>
    <xf numFmtId="0" fontId="38" fillId="0" borderId="0" xfId="0" applyFont="1" applyFill="1" applyBorder="1"/>
    <xf numFmtId="171" fontId="38" fillId="0" borderId="0" xfId="1" applyNumberFormat="1" applyFont="1" applyFill="1" applyBorder="1"/>
    <xf numFmtId="171" fontId="38" fillId="0" borderId="4" xfId="1" applyNumberFormat="1" applyFont="1" applyFill="1" applyBorder="1"/>
    <xf numFmtId="171" fontId="38" fillId="0" borderId="0" xfId="1" applyNumberFormat="1" applyFont="1" applyFill="1"/>
    <xf numFmtId="41" fontId="12" fillId="0" borderId="0" xfId="0" applyNumberFormat="1" applyFont="1"/>
    <xf numFmtId="0" fontId="11" fillId="0" borderId="0" xfId="0" applyFont="1" applyBorder="1"/>
    <xf numFmtId="176" fontId="38" fillId="0" borderId="0" xfId="2" applyNumberFormat="1" applyFont="1" applyBorder="1"/>
    <xf numFmtId="171" fontId="30" fillId="0" borderId="5" xfId="1" applyNumberFormat="1" applyFont="1" applyFill="1" applyBorder="1" applyProtection="1"/>
    <xf numFmtId="3" fontId="0" fillId="0" borderId="0" xfId="0" applyNumberFormat="1" applyBorder="1"/>
    <xf numFmtId="0" fontId="2" fillId="0" borderId="0" xfId="0" applyNumberFormat="1" applyFont="1" applyBorder="1" applyAlignment="1">
      <alignment horizontal="centerContinuous"/>
    </xf>
    <xf numFmtId="0" fontId="1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/>
    <xf numFmtId="0" fontId="0" fillId="0" borderId="0" xfId="0" applyBorder="1" applyAlignment="1">
      <alignment horizontal="justify" vertical="top" wrapText="1"/>
    </xf>
    <xf numFmtId="0" fontId="12" fillId="0" borderId="0" xfId="0" applyFont="1" applyBorder="1" applyAlignment="1">
      <alignment horizontal="centerContinuous"/>
    </xf>
    <xf numFmtId="0" fontId="38" fillId="0" borderId="0" xfId="0" applyFont="1" applyAlignment="1">
      <alignment horizontal="centerContinuous"/>
    </xf>
    <xf numFmtId="0" fontId="36" fillId="0" borderId="0" xfId="0" applyFont="1"/>
    <xf numFmtId="0" fontId="1" fillId="0" borderId="0" xfId="0" applyFont="1" applyFill="1"/>
    <xf numFmtId="0" fontId="38" fillId="0" borderId="0" xfId="0" applyFont="1" applyFill="1" applyAlignment="1">
      <alignment horizontal="center"/>
    </xf>
    <xf numFmtId="41" fontId="1" fillId="0" borderId="0" xfId="0" applyNumberFormat="1" applyFont="1" applyFill="1"/>
    <xf numFmtId="171" fontId="38" fillId="0" borderId="0" xfId="0" applyNumberFormat="1" applyFont="1" applyFill="1"/>
    <xf numFmtId="167" fontId="9" fillId="0" borderId="0" xfId="0" applyNumberFormat="1" applyFont="1" applyAlignment="1"/>
    <xf numFmtId="164" fontId="9" fillId="0" borderId="0" xfId="0" applyNumberFormat="1" applyFont="1" applyAlignment="1"/>
    <xf numFmtId="37" fontId="38" fillId="0" borderId="4" xfId="0" applyNumberFormat="1" applyFont="1" applyFill="1" applyBorder="1"/>
    <xf numFmtId="43" fontId="38" fillId="0" borderId="0" xfId="0" applyNumberFormat="1" applyFont="1" applyFill="1"/>
    <xf numFmtId="171" fontId="0" fillId="0" borderId="0" xfId="0" applyNumberFormat="1" applyFill="1"/>
    <xf numFmtId="176" fontId="0" fillId="0" borderId="0" xfId="2" applyNumberFormat="1" applyFont="1"/>
    <xf numFmtId="171" fontId="0" fillId="0" borderId="4" xfId="1" applyNumberFormat="1" applyFont="1" applyBorder="1"/>
    <xf numFmtId="178" fontId="38" fillId="0" borderId="0" xfId="0" applyNumberFormat="1" applyFont="1"/>
    <xf numFmtId="0" fontId="1" fillId="0" borderId="0" xfId="0" applyFont="1" applyBorder="1"/>
    <xf numFmtId="41" fontId="38" fillId="0" borderId="8" xfId="0" applyNumberFormat="1" applyFont="1" applyBorder="1"/>
    <xf numFmtId="41" fontId="38" fillId="0" borderId="5" xfId="0" applyNumberFormat="1" applyFont="1" applyBorder="1"/>
    <xf numFmtId="0" fontId="1" fillId="6" borderId="0" xfId="0" applyFont="1" applyFill="1"/>
    <xf numFmtId="37" fontId="29" fillId="0" borderId="0" xfId="5" applyFill="1" applyBorder="1" applyAlignment="1">
      <alignment horizontal="center"/>
    </xf>
    <xf numFmtId="37" fontId="30" fillId="0" borderId="0" xfId="5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30" fillId="0" borderId="0" xfId="0" applyFont="1" applyFill="1" applyBorder="1" applyAlignment="1">
      <alignment horizontal="center"/>
    </xf>
    <xf numFmtId="37" fontId="29" fillId="0" borderId="0" xfId="5" applyFont="1" applyFill="1" applyBorder="1" applyAlignment="1">
      <alignment horizontal="center"/>
    </xf>
    <xf numFmtId="168" fontId="30" fillId="0" borderId="0" xfId="0" applyNumberFormat="1" applyFont="1" applyBorder="1" applyAlignment="1">
      <alignment horizontal="center"/>
    </xf>
    <xf numFmtId="37" fontId="41" fillId="0" borderId="0" xfId="5" applyNumberFormat="1" applyFont="1" applyFill="1" applyBorder="1" applyProtection="1"/>
    <xf numFmtId="37" fontId="40" fillId="0" borderId="0" xfId="5" applyFont="1" applyFill="1" applyBorder="1" applyAlignment="1">
      <alignment horizontal="center"/>
    </xf>
    <xf numFmtId="37" fontId="41" fillId="0" borderId="0" xfId="5" applyNumberFormat="1" applyFont="1" applyFill="1" applyBorder="1" applyAlignment="1" applyProtection="1">
      <alignment horizontal="center"/>
    </xf>
    <xf numFmtId="37" fontId="1" fillId="0" borderId="0" xfId="0" applyNumberFormat="1" applyFont="1" applyFill="1" applyBorder="1" applyAlignment="1">
      <alignment horizontal="center"/>
    </xf>
    <xf numFmtId="41" fontId="0" fillId="0" borderId="0" xfId="0" applyNumberFormat="1" applyFill="1" applyBorder="1"/>
    <xf numFmtId="37" fontId="0" fillId="0" borderId="0" xfId="0" applyNumberFormat="1" applyFill="1" applyBorder="1"/>
    <xf numFmtId="171" fontId="30" fillId="0" borderId="0" xfId="1" applyNumberFormat="1" applyFont="1" applyFill="1" applyBorder="1" applyProtection="1">
      <protection locked="0"/>
    </xf>
    <xf numFmtId="37" fontId="30" fillId="0" borderId="0" xfId="5" applyFont="1" applyFill="1" applyBorder="1" applyAlignment="1">
      <alignment horizontal="center"/>
    </xf>
    <xf numFmtId="37" fontId="29" fillId="0" borderId="0" xfId="5" applyFont="1" applyFill="1" applyBorder="1" applyProtection="1"/>
    <xf numFmtId="37" fontId="29" fillId="4" borderId="0" xfId="5" applyFill="1" applyBorder="1" applyAlignment="1">
      <alignment horizontal="center"/>
    </xf>
    <xf numFmtId="37" fontId="30" fillId="0" borderId="0" xfId="4" applyNumberFormat="1" applyFont="1" applyFill="1" applyBorder="1" applyAlignment="1" applyProtection="1">
      <alignment horizontal="center"/>
    </xf>
    <xf numFmtId="176" fontId="30" fillId="0" borderId="0" xfId="2" applyNumberFormat="1" applyFont="1" applyFill="1" applyBorder="1" applyProtection="1"/>
    <xf numFmtId="37" fontId="30" fillId="0" borderId="0" xfId="5" applyNumberFormat="1" applyFont="1" applyFill="1" applyBorder="1" applyAlignment="1">
      <alignment horizontal="center"/>
    </xf>
    <xf numFmtId="3" fontId="30" fillId="0" borderId="0" xfId="5" quotePrefix="1" applyNumberFormat="1" applyFont="1" applyFill="1" applyBorder="1" applyAlignment="1">
      <alignment horizontal="center"/>
    </xf>
    <xf numFmtId="171" fontId="38" fillId="0" borderId="0" xfId="1" applyNumberFormat="1" applyFont="1" applyBorder="1"/>
    <xf numFmtId="41" fontId="38" fillId="0" borderId="0" xfId="0" applyNumberFormat="1" applyFont="1" applyFill="1"/>
    <xf numFmtId="1" fontId="38" fillId="0" borderId="0" xfId="0" applyNumberFormat="1" applyFont="1" applyFill="1"/>
    <xf numFmtId="0" fontId="42" fillId="0" borderId="0" xfId="0" applyFont="1"/>
    <xf numFmtId="172" fontId="42" fillId="0" borderId="0" xfId="0" applyNumberFormat="1" applyFont="1"/>
    <xf numFmtId="0" fontId="42" fillId="0" borderId="0" xfId="0" applyNumberFormat="1" applyFont="1" applyAlignment="1">
      <alignment horizontal="centerContinuous"/>
    </xf>
    <xf numFmtId="0" fontId="43" fillId="0" borderId="0" xfId="0" applyNumberFormat="1" applyFont="1" applyAlignment="1">
      <alignment horizontal="centerContinuous"/>
    </xf>
    <xf numFmtId="0" fontId="43" fillId="0" borderId="0" xfId="0" applyNumberFormat="1" applyFont="1" applyAlignment="1"/>
    <xf numFmtId="0" fontId="43" fillId="0" borderId="0" xfId="0" applyNumberFormat="1" applyFont="1" applyAlignment="1">
      <alignment horizontal="center"/>
    </xf>
    <xf numFmtId="0" fontId="44" fillId="0" borderId="0" xfId="0" applyNumberFormat="1" applyFont="1" applyAlignment="1">
      <alignment horizontal="center"/>
    </xf>
    <xf numFmtId="0" fontId="42" fillId="0" borderId="0" xfId="0" applyNumberFormat="1" applyFont="1" applyAlignment="1"/>
    <xf numFmtId="0" fontId="43" fillId="0" borderId="2" xfId="0" applyNumberFormat="1" applyFont="1" applyBorder="1" applyAlignment="1"/>
    <xf numFmtId="0" fontId="42" fillId="0" borderId="2" xfId="0" applyNumberFormat="1" applyFont="1" applyBorder="1"/>
    <xf numFmtId="0" fontId="43" fillId="0" borderId="2" xfId="0" applyNumberFormat="1" applyFont="1" applyBorder="1" applyAlignment="1">
      <alignment horizontal="center"/>
    </xf>
    <xf numFmtId="3" fontId="43" fillId="0" borderId="0" xfId="0" applyNumberFormat="1" applyFont="1" applyAlignment="1"/>
    <xf numFmtId="3" fontId="43" fillId="0" borderId="2" xfId="0" applyNumberFormat="1" applyFont="1" applyBorder="1" applyAlignment="1"/>
    <xf numFmtId="0" fontId="42" fillId="0" borderId="0" xfId="0" applyNumberFormat="1" applyFont="1"/>
    <xf numFmtId="3" fontId="43" fillId="0" borderId="3" xfId="0" applyNumberFormat="1" applyFont="1" applyBorder="1" applyAlignment="1"/>
    <xf numFmtId="3" fontId="42" fillId="0" borderId="0" xfId="0" applyNumberFormat="1" applyFont="1"/>
    <xf numFmtId="0" fontId="42" fillId="0" borderId="3" xfId="0" applyNumberFormat="1" applyFont="1" applyBorder="1"/>
    <xf numFmtId="164" fontId="43" fillId="0" borderId="0" xfId="0" applyNumberFormat="1" applyFont="1" applyBorder="1" applyAlignment="1"/>
    <xf numFmtId="0" fontId="43" fillId="0" borderId="0" xfId="0" applyNumberFormat="1" applyFont="1" applyBorder="1" applyAlignment="1">
      <alignment horizontal="centerContinuous" vertical="top" wrapText="1"/>
    </xf>
    <xf numFmtId="0" fontId="43" fillId="0" borderId="0" xfId="0" applyNumberFormat="1" applyFont="1" applyBorder="1" applyAlignment="1"/>
    <xf numFmtId="0" fontId="12" fillId="0" borderId="4" xfId="0" applyFont="1" applyBorder="1" applyAlignment="1">
      <alignment horizontal="center"/>
    </xf>
    <xf numFmtId="164" fontId="3" fillId="0" borderId="8" xfId="0" applyNumberFormat="1" applyFont="1" applyBorder="1" applyAlignment="1"/>
    <xf numFmtId="43" fontId="38" fillId="0" borderId="0" xfId="1" applyFont="1"/>
    <xf numFmtId="176" fontId="12" fillId="0" borderId="4" xfId="2" applyNumberFormat="1" applyFont="1" applyBorder="1"/>
    <xf numFmtId="171" fontId="38" fillId="0" borderId="8" xfId="1" applyNumberFormat="1" applyFont="1" applyBorder="1"/>
    <xf numFmtId="171" fontId="38" fillId="0" borderId="4" xfId="1" applyNumberFormat="1" applyFont="1" applyBorder="1"/>
    <xf numFmtId="171" fontId="1" fillId="0" borderId="0" xfId="1" applyNumberFormat="1" applyFont="1"/>
    <xf numFmtId="179" fontId="3" fillId="0" borderId="0" xfId="1" applyNumberFormat="1" applyFont="1" applyBorder="1" applyAlignment="1"/>
    <xf numFmtId="176" fontId="1" fillId="0" borderId="0" xfId="2" applyNumberFormat="1" applyFont="1" applyAlignment="1"/>
    <xf numFmtId="176" fontId="1" fillId="0" borderId="0" xfId="2" applyNumberFormat="1" applyFont="1" applyBorder="1" applyAlignment="1"/>
    <xf numFmtId="176" fontId="0" fillId="0" borderId="4" xfId="2" applyNumberFormat="1" applyFont="1" applyBorder="1"/>
    <xf numFmtId="176" fontId="1" fillId="0" borderId="4" xfId="2" applyNumberFormat="1" applyFont="1" applyBorder="1" applyAlignment="1"/>
    <xf numFmtId="0" fontId="3" fillId="0" borderId="0" xfId="0" applyNumberFormat="1" applyFont="1" applyAlignment="1">
      <alignment horizontal="center"/>
    </xf>
    <xf numFmtId="0" fontId="1" fillId="7" borderId="0" xfId="0" applyFont="1" applyFill="1" applyAlignment="1">
      <alignment horizontal="center"/>
    </xf>
    <xf numFmtId="0" fontId="38" fillId="7" borderId="0" xfId="0" applyFont="1" applyFill="1"/>
    <xf numFmtId="3" fontId="38" fillId="7" borderId="0" xfId="0" applyNumberFormat="1" applyFont="1" applyFill="1"/>
    <xf numFmtId="0" fontId="3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Continuous"/>
    </xf>
    <xf numFmtId="0" fontId="45" fillId="0" borderId="0" xfId="0" applyNumberFormat="1" applyFont="1" applyAlignment="1"/>
    <xf numFmtId="0" fontId="45" fillId="0" borderId="0" xfId="0" applyNumberFormat="1" applyFont="1" applyAlignment="1">
      <alignment horizontal="left" vertical="top"/>
    </xf>
    <xf numFmtId="0" fontId="45" fillId="0" borderId="0" xfId="0" applyNumberFormat="1" applyFont="1" applyAlignment="1">
      <alignment horizontal="centerContinuous" vertical="top" wrapText="1"/>
    </xf>
    <xf numFmtId="0" fontId="45" fillId="0" borderId="0" xfId="0" applyNumberFormat="1" applyFont="1" applyAlignment="1">
      <alignment horizontal="center"/>
    </xf>
    <xf numFmtId="0" fontId="45" fillId="0" borderId="2" xfId="0" applyNumberFormat="1" applyFont="1" applyBorder="1" applyAlignment="1">
      <alignment horizontal="centerContinuous"/>
    </xf>
    <xf numFmtId="0" fontId="45" fillId="0" borderId="2" xfId="0" applyNumberFormat="1" applyFont="1" applyBorder="1" applyAlignment="1">
      <alignment horizontal="center"/>
    </xf>
    <xf numFmtId="0" fontId="45" fillId="0" borderId="0" xfId="0" applyNumberFormat="1" applyFont="1" applyBorder="1" applyAlignment="1">
      <alignment horizontal="centerContinuous"/>
    </xf>
    <xf numFmtId="0" fontId="45" fillId="0" borderId="0" xfId="0" applyNumberFormat="1" applyFont="1" applyBorder="1" applyAlignment="1">
      <alignment horizontal="center"/>
    </xf>
    <xf numFmtId="0" fontId="46" fillId="0" borderId="0" xfId="0" applyNumberFormat="1" applyFont="1" applyAlignment="1"/>
    <xf numFmtId="0" fontId="47" fillId="0" borderId="0" xfId="0" applyNumberFormat="1" applyFont="1" applyAlignment="1"/>
    <xf numFmtId="164" fontId="45" fillId="0" borderId="0" xfId="0" applyNumberFormat="1" applyFont="1" applyAlignment="1"/>
    <xf numFmtId="0" fontId="45" fillId="0" borderId="0" xfId="0" applyNumberFormat="1" applyFont="1" applyBorder="1" applyAlignment="1"/>
    <xf numFmtId="164" fontId="48" fillId="0" borderId="0" xfId="0" applyNumberFormat="1" applyFont="1" applyBorder="1" applyAlignment="1"/>
    <xf numFmtId="0" fontId="1" fillId="0" borderId="0" xfId="0" applyNumberFormat="1" applyFont="1" applyAlignment="1">
      <alignment horizontal="centerContinuous"/>
    </xf>
    <xf numFmtId="0" fontId="20" fillId="0" borderId="0" xfId="0" applyFont="1"/>
    <xf numFmtId="0" fontId="45" fillId="0" borderId="4" xfId="0" applyNumberFormat="1" applyFont="1" applyBorder="1" applyAlignment="1">
      <alignment horizontal="center"/>
    </xf>
    <xf numFmtId="175" fontId="45" fillId="0" borderId="0" xfId="0" applyNumberFormat="1" applyFont="1" applyBorder="1" applyAlignment="1">
      <alignment horizontal="center"/>
    </xf>
    <xf numFmtId="0" fontId="47" fillId="0" borderId="0" xfId="0" applyNumberFormat="1" applyFont="1" applyBorder="1" applyAlignment="1">
      <alignment horizontal="center"/>
    </xf>
    <xf numFmtId="3" fontId="45" fillId="0" borderId="0" xfId="0" applyNumberFormat="1" applyFont="1" applyAlignment="1"/>
    <xf numFmtId="0" fontId="45" fillId="0" borderId="3" xfId="0" applyNumberFormat="1" applyFont="1" applyBorder="1" applyAlignment="1"/>
    <xf numFmtId="3" fontId="49" fillId="0" borderId="3" xfId="0" applyNumberFormat="1" applyFont="1" applyBorder="1" applyAlignment="1"/>
    <xf numFmtId="164" fontId="49" fillId="0" borderId="0" xfId="0" applyNumberFormat="1" applyFont="1" applyAlignment="1"/>
    <xf numFmtId="0" fontId="1" fillId="0" borderId="3" xfId="0" applyNumberFormat="1" applyFont="1" applyBorder="1" applyAlignment="1"/>
    <xf numFmtId="3" fontId="45" fillId="0" borderId="4" xfId="0" applyNumberFormat="1" applyFont="1" applyBorder="1" applyAlignment="1"/>
    <xf numFmtId="175" fontId="45" fillId="0" borderId="2" xfId="0" applyNumberFormat="1" applyFont="1" applyBorder="1" applyAlignment="1">
      <alignment horizontal="center"/>
    </xf>
    <xf numFmtId="0" fontId="45" fillId="0" borderId="2" xfId="0" applyNumberFormat="1" applyFont="1" applyBorder="1" applyAlignment="1"/>
    <xf numFmtId="171" fontId="45" fillId="0" borderId="0" xfId="1" applyNumberFormat="1" applyFont="1" applyAlignment="1"/>
    <xf numFmtId="171" fontId="45" fillId="0" borderId="0" xfId="1" applyNumberFormat="1" applyFont="1" applyAlignment="1">
      <alignment horizontal="center"/>
    </xf>
    <xf numFmtId="171" fontId="45" fillId="0" borderId="0" xfId="1" applyNumberFormat="1" applyFont="1" applyBorder="1" applyAlignment="1">
      <alignment horizontal="center"/>
    </xf>
    <xf numFmtId="0" fontId="50" fillId="0" borderId="0" xfId="0" applyNumberFormat="1" applyFont="1" applyAlignment="1"/>
    <xf numFmtId="171" fontId="45" fillId="0" borderId="0" xfId="1" applyNumberFormat="1" applyFont="1"/>
    <xf numFmtId="171" fontId="50" fillId="0" borderId="0" xfId="1" applyNumberFormat="1" applyFont="1" applyAlignment="1"/>
    <xf numFmtId="171" fontId="45" fillId="0" borderId="4" xfId="1" applyNumberFormat="1" applyFont="1" applyBorder="1"/>
    <xf numFmtId="171" fontId="45" fillId="0" borderId="2" xfId="1" applyNumberFormat="1" applyFont="1" applyBorder="1" applyAlignment="1"/>
    <xf numFmtId="171" fontId="50" fillId="0" borderId="0" xfId="1" applyNumberFormat="1" applyFont="1" applyBorder="1" applyAlignment="1"/>
    <xf numFmtId="171" fontId="45" fillId="0" borderId="0" xfId="1" applyNumberFormat="1" applyFont="1" applyBorder="1" applyAlignment="1"/>
    <xf numFmtId="171" fontId="45" fillId="0" borderId="3" xfId="1" applyNumberFormat="1" applyFont="1" applyBorder="1" applyAlignment="1"/>
    <xf numFmtId="171" fontId="45" fillId="0" borderId="4" xfId="1" applyNumberFormat="1" applyFont="1" applyBorder="1" applyAlignment="1"/>
    <xf numFmtId="171" fontId="45" fillId="0" borderId="0" xfId="1" applyNumberFormat="1" applyFont="1" applyAlignment="1">
      <alignment horizontal="centerContinuous"/>
    </xf>
    <xf numFmtId="0" fontId="45" fillId="0" borderId="0" xfId="0" applyNumberFormat="1" applyFont="1" applyAlignment="1">
      <alignment vertical="top"/>
    </xf>
    <xf numFmtId="171" fontId="45" fillId="0" borderId="0" xfId="1" applyNumberFormat="1" applyFont="1" applyAlignment="1">
      <alignment horizontal="centerContinuous" vertical="top" wrapText="1"/>
    </xf>
    <xf numFmtId="0" fontId="45" fillId="0" borderId="0" xfId="0" applyFont="1" applyAlignment="1"/>
    <xf numFmtId="0" fontId="45" fillId="0" borderId="4" xfId="0" applyNumberFormat="1" applyFont="1" applyBorder="1" applyAlignment="1">
      <alignment horizontal="centerContinuous"/>
    </xf>
    <xf numFmtId="0" fontId="45" fillId="0" borderId="4" xfId="0" applyFont="1" applyBorder="1" applyAlignment="1">
      <alignment horizontal="center"/>
    </xf>
    <xf numFmtId="171" fontId="45" fillId="0" borderId="4" xfId="1" applyNumberFormat="1" applyFont="1" applyBorder="1" applyAlignment="1">
      <alignment horizontal="center"/>
    </xf>
    <xf numFmtId="175" fontId="45" fillId="0" borderId="0" xfId="0" applyNumberFormat="1" applyFont="1" applyAlignment="1">
      <alignment horizontal="center"/>
    </xf>
    <xf numFmtId="175" fontId="45" fillId="0" borderId="0" xfId="1" applyNumberFormat="1" applyFont="1" applyAlignment="1">
      <alignment horizontal="center"/>
    </xf>
    <xf numFmtId="0" fontId="51" fillId="3" borderId="0" xfId="0" applyNumberFormat="1" applyFont="1" applyFill="1" applyAlignment="1"/>
    <xf numFmtId="176" fontId="45" fillId="0" borderId="0" xfId="2" applyNumberFormat="1" applyFont="1" applyProtection="1">
      <protection locked="0"/>
    </xf>
    <xf numFmtId="171" fontId="45" fillId="0" borderId="0" xfId="1" applyNumberFormat="1" applyFont="1" applyProtection="1">
      <protection locked="0"/>
    </xf>
    <xf numFmtId="171" fontId="51" fillId="3" borderId="6" xfId="1" applyNumberFormat="1" applyFont="1" applyFill="1" applyBorder="1" applyAlignment="1"/>
    <xf numFmtId="0" fontId="50" fillId="0" borderId="0" xfId="0" applyNumberFormat="1" applyFont="1" applyAlignment="1">
      <alignment horizontal="left" vertical="top"/>
    </xf>
    <xf numFmtId="0" fontId="45" fillId="3" borderId="0" xfId="0" applyNumberFormat="1" applyFont="1" applyFill="1" applyAlignment="1"/>
    <xf numFmtId="171" fontId="51" fillId="3" borderId="0" xfId="1" applyNumberFormat="1" applyFont="1" applyFill="1" applyBorder="1" applyAlignment="1"/>
    <xf numFmtId="171" fontId="51" fillId="3" borderId="10" xfId="1" applyNumberFormat="1" applyFont="1" applyFill="1" applyBorder="1" applyAlignment="1"/>
    <xf numFmtId="171" fontId="45" fillId="0" borderId="6" xfId="1" applyNumberFormat="1" applyFont="1" applyBorder="1" applyAlignment="1"/>
    <xf numFmtId="176" fontId="3" fillId="0" borderId="0" xfId="2" applyNumberFormat="1" applyFont="1" applyAlignment="1"/>
    <xf numFmtId="179" fontId="3" fillId="0" borderId="0" xfId="1" applyNumberFormat="1" applyFont="1" applyAlignment="1"/>
    <xf numFmtId="179" fontId="3" fillId="0" borderId="4" xfId="1" applyNumberFormat="1" applyFont="1" applyBorder="1" applyAlignment="1"/>
    <xf numFmtId="0" fontId="45" fillId="0" borderId="0" xfId="0" applyNumberFormat="1" applyFont="1" applyFill="1" applyAlignment="1"/>
    <xf numFmtId="3" fontId="48" fillId="0" borderId="0" xfId="0" applyNumberFormat="1" applyFont="1" applyBorder="1" applyAlignment="1"/>
    <xf numFmtId="164" fontId="45" fillId="0" borderId="0" xfId="0" applyNumberFormat="1" applyFont="1" applyFill="1" applyAlignment="1"/>
    <xf numFmtId="179" fontId="45" fillId="0" borderId="0" xfId="1" applyNumberFormat="1" applyFont="1" applyAlignment="1"/>
    <xf numFmtId="179" fontId="45" fillId="0" borderId="2" xfId="1" applyNumberFormat="1" applyFont="1" applyBorder="1" applyAlignment="1"/>
    <xf numFmtId="179" fontId="45" fillId="0" borderId="6" xfId="1" applyNumberFormat="1" applyFont="1" applyBorder="1" applyAlignment="1"/>
    <xf numFmtId="179" fontId="3" fillId="0" borderId="6" xfId="1" applyNumberFormat="1" applyFont="1" applyBorder="1" applyAlignment="1"/>
    <xf numFmtId="3" fontId="3" fillId="0" borderId="4" xfId="0" applyNumberFormat="1" applyFont="1" applyBorder="1" applyAlignment="1"/>
    <xf numFmtId="3" fontId="45" fillId="0" borderId="0" xfId="0" quotePrefix="1" applyNumberFormat="1" applyFont="1" applyAlignment="1"/>
    <xf numFmtId="171" fontId="9" fillId="0" borderId="0" xfId="1" applyNumberFormat="1" applyFont="1" applyBorder="1"/>
    <xf numFmtId="171" fontId="9" fillId="0" borderId="4" xfId="1" applyNumberFormat="1" applyFont="1" applyBorder="1"/>
    <xf numFmtId="171" fontId="9" fillId="0" borderId="6" xfId="1" applyNumberFormat="1" applyFont="1" applyBorder="1"/>
    <xf numFmtId="171" fontId="6" fillId="3" borderId="0" xfId="1" applyNumberFormat="1" applyFont="1" applyFill="1" applyAlignment="1"/>
    <xf numFmtId="171" fontId="6" fillId="3" borderId="2" xfId="1" applyNumberFormat="1" applyFont="1" applyFill="1" applyBorder="1" applyAlignment="1"/>
    <xf numFmtId="171" fontId="6" fillId="3" borderId="6" xfId="1" applyNumberFormat="1" applyFont="1" applyFill="1" applyBorder="1" applyAlignment="1"/>
    <xf numFmtId="171" fontId="1" fillId="0" borderId="0" xfId="0" applyNumberFormat="1" applyFont="1" applyAlignment="1"/>
    <xf numFmtId="179" fontId="6" fillId="3" borderId="0" xfId="1" applyNumberFormat="1" applyFont="1" applyFill="1" applyAlignment="1" applyProtection="1">
      <protection locked="0"/>
    </xf>
    <xf numFmtId="179" fontId="6" fillId="3" borderId="2" xfId="1" applyNumberFormat="1" applyFont="1" applyFill="1" applyBorder="1" applyAlignment="1" applyProtection="1">
      <protection locked="0"/>
    </xf>
    <xf numFmtId="0" fontId="1" fillId="0" borderId="0" xfId="0" applyFont="1" applyFill="1" applyAlignment="1">
      <alignment horizontal="center"/>
    </xf>
    <xf numFmtId="41" fontId="38" fillId="0" borderId="4" xfId="0" applyNumberFormat="1" applyFont="1" applyFill="1" applyBorder="1"/>
    <xf numFmtId="0" fontId="0" fillId="0" borderId="0" xfId="0" applyFont="1" applyFill="1"/>
    <xf numFmtId="0" fontId="38" fillId="0" borderId="0" xfId="0" applyFont="1" applyFill="1" applyBorder="1" applyAlignment="1">
      <alignment horizontal="center"/>
    </xf>
    <xf numFmtId="171" fontId="1" fillId="0" borderId="0" xfId="0" applyNumberFormat="1" applyFont="1" applyFill="1"/>
    <xf numFmtId="41" fontId="38" fillId="0" borderId="0" xfId="0" applyNumberFormat="1" applyFont="1" applyFill="1" applyBorder="1"/>
    <xf numFmtId="176" fontId="1" fillId="0" borderId="6" xfId="2" applyNumberFormat="1" applyFont="1" applyBorder="1" applyAlignment="1"/>
    <xf numFmtId="171" fontId="3" fillId="0" borderId="2" xfId="1" applyNumberFormat="1" applyFont="1" applyBorder="1" applyAlignment="1"/>
    <xf numFmtId="179" fontId="3" fillId="0" borderId="0" xfId="1" applyNumberFormat="1" applyFont="1" applyAlignment="1" applyProtection="1">
      <protection locked="0"/>
    </xf>
    <xf numFmtId="179" fontId="3" fillId="0" borderId="2" xfId="1" applyNumberFormat="1" applyFont="1" applyBorder="1" applyAlignment="1"/>
    <xf numFmtId="179" fontId="0" fillId="0" borderId="3" xfId="1" applyNumberFormat="1" applyFont="1" applyBorder="1"/>
    <xf numFmtId="175" fontId="3" fillId="0" borderId="2" xfId="0" applyNumberFormat="1" applyFont="1" applyBorder="1" applyAlignment="1">
      <alignment horizontal="center"/>
    </xf>
    <xf numFmtId="176" fontId="1" fillId="0" borderId="6" xfId="2" applyNumberFormat="1" applyFont="1" applyFill="1" applyBorder="1" applyAlignment="1"/>
    <xf numFmtId="171" fontId="3" fillId="0" borderId="2" xfId="1" applyNumberFormat="1" applyFont="1" applyBorder="1" applyAlignment="1">
      <alignment horizontal="center"/>
    </xf>
    <xf numFmtId="179" fontId="3" fillId="0" borderId="6" xfId="1" applyNumberFormat="1" applyFont="1" applyBorder="1"/>
    <xf numFmtId="172" fontId="3" fillId="0" borderId="6" xfId="0" applyNumberFormat="1" applyFont="1" applyBorder="1" applyAlignment="1"/>
    <xf numFmtId="3" fontId="1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171" fontId="1" fillId="0" borderId="0" xfId="1" applyNumberFormat="1" applyFont="1" applyAlignment="1" applyProtection="1">
      <protection locked="0"/>
    </xf>
    <xf numFmtId="171" fontId="1" fillId="0" borderId="4" xfId="1" applyNumberFormat="1" applyFont="1" applyBorder="1" applyAlignment="1" applyProtection="1">
      <protection locked="0"/>
    </xf>
    <xf numFmtId="171" fontId="1" fillId="0" borderId="2" xfId="1" applyNumberFormat="1" applyFont="1" applyBorder="1" applyAlignment="1"/>
    <xf numFmtId="171" fontId="1" fillId="0" borderId="0" xfId="1" applyNumberFormat="1" applyFont="1" applyBorder="1" applyAlignment="1"/>
    <xf numFmtId="171" fontId="45" fillId="0" borderId="0" xfId="0" applyNumberFormat="1" applyFont="1" applyAlignment="1"/>
    <xf numFmtId="0" fontId="1" fillId="0" borderId="0" xfId="0" applyNumberFormat="1" applyFont="1" applyAlignment="1">
      <alignment horizontal="centerContinuous" vertical="top" wrapText="1"/>
    </xf>
    <xf numFmtId="2" fontId="38" fillId="0" borderId="0" xfId="0" applyNumberFormat="1" applyFont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0" fontId="45" fillId="0" borderId="0" xfId="0" applyNumberFormat="1" applyFont="1" applyAlignment="1">
      <alignment horizontal="center"/>
    </xf>
    <xf numFmtId="171" fontId="45" fillId="0" borderId="4" xfId="0" applyNumberFormat="1" applyFont="1" applyBorder="1" applyAlignment="1"/>
    <xf numFmtId="176" fontId="0" fillId="0" borderId="0" xfId="2" applyNumberFormat="1" applyFont="1" applyBorder="1"/>
    <xf numFmtId="3" fontId="1" fillId="0" borderId="4" xfId="0" applyNumberFormat="1" applyFont="1" applyBorder="1" applyAlignment="1">
      <alignment horizontal="centerContinuous"/>
    </xf>
    <xf numFmtId="0" fontId="4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75" fontId="45" fillId="0" borderId="2" xfId="0" quotePrefix="1" applyNumberFormat="1" applyFont="1" applyBorder="1" applyAlignment="1">
      <alignment horizontal="center"/>
    </xf>
    <xf numFmtId="164" fontId="45" fillId="0" borderId="2" xfId="0" applyNumberFormat="1" applyFont="1" applyBorder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center"/>
    </xf>
    <xf numFmtId="0" fontId="1" fillId="0" borderId="0" xfId="0" applyNumberFormat="1" applyFont="1" applyAlignment="1" applyProtection="1">
      <protection locked="0"/>
    </xf>
    <xf numFmtId="0" fontId="52" fillId="0" borderId="0" xfId="0" applyNumberFormat="1" applyFont="1" applyAlignment="1"/>
    <xf numFmtId="0" fontId="34" fillId="0" borderId="0" xfId="0" applyNumberFormat="1" applyFont="1" applyAlignment="1"/>
    <xf numFmtId="168" fontId="34" fillId="0" borderId="0" xfId="0" applyNumberFormat="1" applyFont="1" applyAlignment="1">
      <alignment horizontal="left"/>
    </xf>
    <xf numFmtId="0" fontId="34" fillId="0" borderId="0" xfId="0" applyNumberFormat="1" applyFont="1" applyBorder="1" applyAlignment="1"/>
    <xf numFmtId="0" fontId="12" fillId="0" borderId="0" xfId="0" applyNumberFormat="1" applyFont="1" applyAlignment="1"/>
    <xf numFmtId="168" fontId="1" fillId="0" borderId="0" xfId="0" applyNumberFormat="1" applyFont="1" applyAlignment="1">
      <alignment horizontal="left"/>
    </xf>
    <xf numFmtId="0" fontId="18" fillId="0" borderId="0" xfId="0" applyNumberFormat="1" applyFont="1" applyAlignment="1"/>
    <xf numFmtId="0" fontId="1" fillId="0" borderId="0" xfId="14" applyNumberFormat="1" applyFont="1" applyFill="1" applyAlignment="1" applyProtection="1">
      <protection locked="0"/>
    </xf>
    <xf numFmtId="168" fontId="1" fillId="0" borderId="0" xfId="14" applyNumberFormat="1" applyFont="1" applyFill="1" applyAlignment="1">
      <alignment horizontal="left"/>
    </xf>
    <xf numFmtId="0" fontId="53" fillId="0" borderId="0" xfId="0" applyNumberFormat="1" applyFont="1" applyAlignment="1" applyProtection="1">
      <protection locked="0"/>
    </xf>
    <xf numFmtId="0" fontId="12" fillId="0" borderId="0" xfId="0" applyNumberFormat="1" applyFont="1" applyAlignment="1" applyProtection="1">
      <protection locked="0"/>
    </xf>
    <xf numFmtId="37" fontId="33" fillId="0" borderId="0" xfId="5" applyFont="1" applyFill="1"/>
    <xf numFmtId="37" fontId="30" fillId="0" borderId="0" xfId="0" applyNumberFormat="1" applyFont="1" applyFill="1" applyBorder="1"/>
    <xf numFmtId="37" fontId="30" fillId="0" borderId="4" xfId="0" applyNumberFormat="1" applyFont="1" applyFill="1" applyBorder="1"/>
    <xf numFmtId="37" fontId="12" fillId="0" borderId="4" xfId="5" applyNumberFormat="1" applyFont="1" applyFill="1" applyBorder="1" applyAlignment="1" applyProtection="1">
      <alignment horizontal="center"/>
      <protection locked="0"/>
    </xf>
    <xf numFmtId="37" fontId="31" fillId="0" borderId="4" xfId="5" applyFont="1" applyFill="1" applyBorder="1" applyAlignment="1" applyProtection="1">
      <alignment horizontal="center"/>
    </xf>
    <xf numFmtId="37" fontId="29" fillId="0" borderId="4" xfId="5" applyFont="1" applyFill="1" applyBorder="1" applyProtection="1"/>
    <xf numFmtId="41" fontId="38" fillId="6" borderId="0" xfId="0" applyNumberFormat="1" applyFont="1" applyFill="1"/>
    <xf numFmtId="37" fontId="12" fillId="0" borderId="4" xfId="5" applyNumberFormat="1" applyFont="1" applyFill="1" applyBorder="1" applyAlignment="1" applyProtection="1">
      <alignment horizontal="center"/>
    </xf>
    <xf numFmtId="171" fontId="12" fillId="0" borderId="4" xfId="1" applyNumberFormat="1" applyFont="1" applyFill="1" applyBorder="1" applyAlignment="1">
      <alignment horizontal="center"/>
    </xf>
    <xf numFmtId="0" fontId="18" fillId="0" borderId="0" xfId="0" applyFont="1" applyFill="1"/>
    <xf numFmtId="171" fontId="30" fillId="0" borderId="0" xfId="1" applyNumberFormat="1" applyFont="1" applyFill="1"/>
    <xf numFmtId="37" fontId="12" fillId="0" borderId="4" xfId="5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171" fontId="30" fillId="0" borderId="4" xfId="1" applyNumberFormat="1" applyFont="1" applyFill="1" applyBorder="1"/>
    <xf numFmtId="37" fontId="30" fillId="0" borderId="4" xfId="5" applyNumberFormat="1" applyFont="1" applyFill="1" applyBorder="1" applyProtection="1">
      <protection locked="0"/>
    </xf>
    <xf numFmtId="0" fontId="0" fillId="0" borderId="0" xfId="0" applyFill="1" applyAlignment="1">
      <alignment horizontal="left"/>
    </xf>
    <xf numFmtId="37" fontId="29" fillId="0" borderId="0" xfId="5" applyFill="1" applyBorder="1" applyAlignment="1">
      <alignment horizontal="right"/>
    </xf>
    <xf numFmtId="37" fontId="0" fillId="0" borderId="4" xfId="0" applyNumberFormat="1" applyFill="1" applyBorder="1"/>
    <xf numFmtId="37" fontId="31" fillId="0" borderId="4" xfId="5" applyFont="1" applyFill="1" applyBorder="1" applyAlignment="1">
      <alignment horizontal="center"/>
    </xf>
    <xf numFmtId="0" fontId="12" fillId="0" borderId="4" xfId="0" applyNumberFormat="1" applyFont="1" applyBorder="1" applyAlignment="1" applyProtection="1">
      <protection locked="0"/>
    </xf>
    <xf numFmtId="168" fontId="34" fillId="0" borderId="0" xfId="0" applyNumberFormat="1" applyFont="1" applyAlignment="1">
      <alignment horizontal="center"/>
    </xf>
    <xf numFmtId="1" fontId="12" fillId="0" borderId="0" xfId="0" applyNumberFormat="1" applyFont="1"/>
    <xf numFmtId="37" fontId="1" fillId="0" borderId="0" xfId="5" applyFont="1" applyFill="1" applyProtection="1"/>
    <xf numFmtId="43" fontId="1" fillId="0" borderId="0" xfId="1" applyFont="1" applyAlignment="1"/>
    <xf numFmtId="0" fontId="1" fillId="7" borderId="0" xfId="0" applyFont="1" applyFill="1"/>
    <xf numFmtId="0" fontId="38" fillId="8" borderId="9" xfId="0" applyFont="1" applyFill="1" applyBorder="1" applyAlignment="1">
      <alignment horizontal="center"/>
    </xf>
    <xf numFmtId="41" fontId="0" fillId="4" borderId="0" xfId="0" applyNumberFormat="1" applyFill="1"/>
    <xf numFmtId="41" fontId="14" fillId="0" borderId="0" xfId="0" applyNumberFormat="1" applyFont="1"/>
    <xf numFmtId="3" fontId="43" fillId="0" borderId="4" xfId="0" applyNumberFormat="1" applyFont="1" applyBorder="1" applyAlignment="1">
      <alignment horizontal="center"/>
    </xf>
    <xf numFmtId="178" fontId="38" fillId="9" borderId="0" xfId="0" applyNumberFormat="1" applyFont="1" applyFill="1"/>
    <xf numFmtId="171" fontId="1" fillId="0" borderId="0" xfId="1" applyNumberFormat="1" applyFont="1" applyFill="1"/>
    <xf numFmtId="171" fontId="43" fillId="0" borderId="0" xfId="1" applyNumberFormat="1" applyFont="1" applyAlignment="1"/>
    <xf numFmtId="171" fontId="45" fillId="0" borderId="6" xfId="0" applyNumberFormat="1" applyFont="1" applyBorder="1" applyAlignment="1"/>
    <xf numFmtId="0" fontId="12" fillId="0" borderId="4" xfId="0" applyFont="1" applyBorder="1" applyAlignment="1">
      <alignment horizontal="center"/>
    </xf>
    <xf numFmtId="171" fontId="1" fillId="0" borderId="4" xfId="0" applyNumberFormat="1" applyFont="1" applyBorder="1"/>
    <xf numFmtId="171" fontId="1" fillId="0" borderId="0" xfId="0" applyNumberFormat="1" applyFont="1" applyBorder="1"/>
    <xf numFmtId="37" fontId="1" fillId="0" borderId="0" xfId="5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37" fontId="38" fillId="6" borderId="0" xfId="0" applyNumberFormat="1" applyFont="1" applyFill="1"/>
    <xf numFmtId="0" fontId="0" fillId="9" borderId="0" xfId="0" applyFill="1"/>
    <xf numFmtId="0" fontId="1" fillId="9" borderId="0" xfId="0" applyFont="1" applyFill="1"/>
    <xf numFmtId="0" fontId="54" fillId="9" borderId="0" xfId="0" applyFont="1" applyFill="1"/>
    <xf numFmtId="0" fontId="54" fillId="9" borderId="12" xfId="0" applyFont="1" applyFill="1" applyBorder="1" applyAlignment="1">
      <alignment horizontal="center"/>
    </xf>
    <xf numFmtId="179" fontId="1" fillId="0" borderId="0" xfId="0" applyNumberFormat="1" applyFont="1" applyAlignment="1"/>
    <xf numFmtId="173" fontId="1" fillId="0" borderId="4" xfId="0" applyNumberFormat="1" applyFont="1" applyBorder="1" applyAlignment="1"/>
    <xf numFmtId="43" fontId="1" fillId="0" borderId="0" xfId="0" applyNumberFormat="1" applyFont="1" applyBorder="1" applyAlignment="1"/>
    <xf numFmtId="171" fontId="1" fillId="0" borderId="0" xfId="1" applyNumberFormat="1" applyFont="1" applyFill="1" applyAlignment="1"/>
    <xf numFmtId="179" fontId="45" fillId="0" borderId="0" xfId="1" applyNumberFormat="1" applyFont="1" applyFill="1" applyAlignment="1"/>
    <xf numFmtId="0" fontId="1" fillId="0" borderId="0" xfId="0" applyNumberFormat="1" applyFont="1" applyFill="1" applyBorder="1" applyAlignment="1"/>
    <xf numFmtId="179" fontId="45" fillId="0" borderId="11" xfId="1" applyNumberFormat="1" applyFont="1" applyFill="1" applyBorder="1" applyAlignment="1"/>
    <xf numFmtId="171" fontId="45" fillId="0" borderId="0" xfId="1" applyNumberFormat="1" applyFont="1" applyFill="1" applyAlignment="1"/>
    <xf numFmtId="176" fontId="45" fillId="0" borderId="0" xfId="2" applyNumberFormat="1" applyFont="1" applyFill="1" applyBorder="1" applyAlignment="1"/>
    <xf numFmtId="171" fontId="45" fillId="0" borderId="0" xfId="1" applyNumberFormat="1" applyFont="1" applyFill="1" applyBorder="1" applyAlignment="1"/>
    <xf numFmtId="171" fontId="45" fillId="0" borderId="0" xfId="0" applyNumberFormat="1" applyFont="1" applyFill="1" applyBorder="1" applyAlignment="1"/>
    <xf numFmtId="171" fontId="45" fillId="0" borderId="4" xfId="1" applyNumberFormat="1" applyFont="1" applyFill="1" applyBorder="1" applyAlignment="1"/>
    <xf numFmtId="176" fontId="45" fillId="0" borderId="10" xfId="2" applyNumberFormat="1" applyFont="1" applyFill="1" applyBorder="1" applyAlignment="1"/>
    <xf numFmtId="171" fontId="1" fillId="0" borderId="0" xfId="1" applyNumberFormat="1" applyFont="1" applyFill="1" applyBorder="1" applyAlignment="1"/>
    <xf numFmtId="3" fontId="3" fillId="6" borderId="0" xfId="0" applyNumberFormat="1" applyFont="1" applyFill="1" applyAlignment="1"/>
    <xf numFmtId="3" fontId="3" fillId="6" borderId="0" xfId="0" quotePrefix="1" applyNumberFormat="1" applyFont="1" applyFill="1" applyAlignment="1"/>
    <xf numFmtId="0" fontId="45" fillId="0" borderId="0" xfId="0" applyNumberFormat="1" applyFont="1" applyAlignment="1">
      <alignment horizontal="center"/>
    </xf>
    <xf numFmtId="176" fontId="51" fillId="3" borderId="10" xfId="2" applyNumberFormat="1" applyFont="1" applyFill="1" applyBorder="1" applyAlignment="1"/>
    <xf numFmtId="0" fontId="3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176" fontId="9" fillId="0" borderId="0" xfId="2" applyNumberFormat="1" applyFont="1" applyAlignment="1"/>
    <xf numFmtId="171" fontId="9" fillId="0" borderId="0" xfId="1" applyNumberFormat="1" applyFont="1" applyAlignment="1"/>
    <xf numFmtId="171" fontId="9" fillId="0" borderId="4" xfId="1" applyNumberFormat="1" applyFont="1" applyBorder="1" applyAlignment="1"/>
    <xf numFmtId="176" fontId="9" fillId="0" borderId="6" xfId="2" applyNumberFormat="1" applyFont="1" applyBorder="1" applyAlignment="1"/>
    <xf numFmtId="179" fontId="9" fillId="0" borderId="0" xfId="1" applyNumberFormat="1" applyFont="1" applyAlignment="1"/>
    <xf numFmtId="179" fontId="9" fillId="0" borderId="4" xfId="1" applyNumberFormat="1" applyFont="1" applyBorder="1" applyAlignment="1"/>
    <xf numFmtId="0" fontId="3" fillId="0" borderId="0" xfId="0" quotePrefix="1" applyNumberFormat="1" applyFont="1" applyAlignment="1">
      <alignment horizontal="center"/>
    </xf>
    <xf numFmtId="0" fontId="3" fillId="0" borderId="4" xfId="0" quotePrefix="1" applyNumberFormat="1" applyFont="1" applyBorder="1" applyAlignment="1">
      <alignment horizontal="center"/>
    </xf>
    <xf numFmtId="176" fontId="3" fillId="0" borderId="6" xfId="2" applyNumberFormat="1" applyFont="1" applyBorder="1" applyAlignment="1"/>
    <xf numFmtId="3" fontId="1" fillId="10" borderId="0" xfId="0" applyNumberFormat="1" applyFont="1" applyFill="1" applyAlignment="1">
      <alignment horizontal="centerContinuous"/>
    </xf>
    <xf numFmtId="3" fontId="22" fillId="10" borderId="0" xfId="0" applyNumberFormat="1" applyFont="1" applyFill="1" applyAlignment="1">
      <alignment horizontal="left"/>
    </xf>
    <xf numFmtId="3" fontId="22" fillId="10" borderId="0" xfId="0" applyNumberFormat="1" applyFont="1" applyFill="1" applyAlignment="1">
      <alignment horizontal="centerContinuous"/>
    </xf>
    <xf numFmtId="3" fontId="1" fillId="10" borderId="0" xfId="0" applyNumberFormat="1" applyFont="1" applyFill="1" applyAlignment="1"/>
    <xf numFmtId="3" fontId="1" fillId="10" borderId="2" xfId="0" applyNumberFormat="1" applyFont="1" applyFill="1" applyBorder="1" applyAlignment="1">
      <alignment horizontal="centerContinuous"/>
    </xf>
    <xf numFmtId="3" fontId="1" fillId="10" borderId="2" xfId="0" applyNumberFormat="1" applyFont="1" applyFill="1" applyBorder="1" applyAlignment="1">
      <alignment horizontal="center"/>
    </xf>
    <xf numFmtId="3" fontId="1" fillId="10" borderId="0" xfId="0" applyNumberFormat="1" applyFont="1" applyFill="1" applyAlignment="1">
      <alignment horizontal="center"/>
    </xf>
    <xf numFmtId="37" fontId="1" fillId="10" borderId="2" xfId="0" applyNumberFormat="1" applyFont="1" applyFill="1" applyBorder="1" applyAlignment="1">
      <alignment horizontal="center"/>
    </xf>
    <xf numFmtId="171" fontId="1" fillId="10" borderId="0" xfId="1" applyNumberFormat="1" applyFont="1" applyFill="1" applyAlignment="1"/>
    <xf numFmtId="3" fontId="3" fillId="10" borderId="0" xfId="0" applyNumberFormat="1" applyFont="1" applyFill="1" applyAlignment="1"/>
    <xf numFmtId="3" fontId="3" fillId="10" borderId="4" xfId="0" applyNumberFormat="1" applyFont="1" applyFill="1" applyBorder="1" applyAlignment="1"/>
    <xf numFmtId="0" fontId="0" fillId="10" borderId="0" xfId="0" applyFill="1"/>
    <xf numFmtId="3" fontId="3" fillId="10" borderId="0" xfId="0" applyNumberFormat="1" applyFont="1" applyFill="1" applyAlignment="1">
      <alignment horizontal="centerContinuous"/>
    </xf>
    <xf numFmtId="3" fontId="3" fillId="10" borderId="0" xfId="0" applyNumberFormat="1" applyFont="1" applyFill="1" applyBorder="1" applyAlignment="1">
      <alignment horizontal="centerContinuous"/>
    </xf>
    <xf numFmtId="3" fontId="1" fillId="10" borderId="0" xfId="0" applyNumberFormat="1" applyFont="1" applyFill="1" applyBorder="1" applyAlignment="1">
      <alignment horizontal="centerContinuous"/>
    </xf>
    <xf numFmtId="3" fontId="15" fillId="10" borderId="0" xfId="0" applyNumberFormat="1" applyFont="1" applyFill="1" applyAlignment="1">
      <alignment horizontal="centerContinuous"/>
    </xf>
    <xf numFmtId="3" fontId="1" fillId="10" borderId="0" xfId="0" applyNumberFormat="1" applyFont="1" applyFill="1" applyBorder="1" applyAlignment="1">
      <alignment horizontal="center"/>
    </xf>
    <xf numFmtId="0" fontId="0" fillId="10" borderId="0" xfId="0" applyFill="1" applyBorder="1"/>
    <xf numFmtId="176" fontId="0" fillId="10" borderId="0" xfId="2" applyNumberFormat="1" applyFont="1" applyFill="1"/>
    <xf numFmtId="171" fontId="0" fillId="10" borderId="4" xfId="1" applyNumberFormat="1" applyFont="1" applyFill="1" applyBorder="1"/>
    <xf numFmtId="171" fontId="0" fillId="10" borderId="0" xfId="1" applyNumberFormat="1" applyFont="1" applyFill="1"/>
    <xf numFmtId="41" fontId="0" fillId="10" borderId="0" xfId="0" applyNumberFormat="1" applyFill="1"/>
    <xf numFmtId="41" fontId="1" fillId="10" borderId="0" xfId="0" applyNumberFormat="1" applyFont="1" applyFill="1" applyAlignment="1"/>
    <xf numFmtId="41" fontId="1" fillId="10" borderId="0" xfId="0" applyNumberFormat="1" applyFont="1" applyFill="1" applyAlignment="1" applyProtection="1">
      <protection locked="0"/>
    </xf>
    <xf numFmtId="43" fontId="0" fillId="10" borderId="0" xfId="0" applyNumberFormat="1" applyFill="1"/>
    <xf numFmtId="171" fontId="0" fillId="10" borderId="0" xfId="0" applyNumberFormat="1" applyFill="1"/>
    <xf numFmtId="10" fontId="1" fillId="10" borderId="0" xfId="0" applyNumberFormat="1" applyFont="1" applyFill="1" applyAlignment="1"/>
    <xf numFmtId="2" fontId="1" fillId="10" borderId="0" xfId="0" applyNumberFormat="1" applyFont="1" applyFill="1" applyAlignment="1"/>
    <xf numFmtId="171" fontId="1" fillId="10" borderId="4" xfId="1" applyNumberFormat="1" applyFont="1" applyFill="1" applyBorder="1" applyAlignment="1"/>
    <xf numFmtId="41" fontId="0" fillId="10" borderId="4" xfId="0" applyNumberFormat="1" applyFill="1" applyBorder="1"/>
    <xf numFmtId="41" fontId="1" fillId="10" borderId="4" xfId="0" applyNumberFormat="1" applyFont="1" applyFill="1" applyBorder="1" applyAlignment="1"/>
    <xf numFmtId="0" fontId="3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38" fillId="0" borderId="0" xfId="0" applyFont="1" applyFill="1" applyAlignment="1">
      <alignment horizontal="left"/>
    </xf>
    <xf numFmtId="0" fontId="45" fillId="0" borderId="4" xfId="0" applyNumberFormat="1" applyFont="1" applyBorder="1" applyAlignment="1">
      <alignment horizontal="center"/>
    </xf>
    <xf numFmtId="179" fontId="45" fillId="0" borderId="4" xfId="1" applyNumberFormat="1" applyFont="1" applyBorder="1" applyAlignment="1"/>
    <xf numFmtId="0" fontId="3" fillId="0" borderId="4" xfId="0" applyNumberFormat="1" applyFont="1" applyBorder="1" applyAlignment="1"/>
    <xf numFmtId="176" fontId="3" fillId="0" borderId="10" xfId="2" applyNumberFormat="1" applyFont="1" applyBorder="1" applyAlignment="1"/>
    <xf numFmtId="179" fontId="3" fillId="0" borderId="10" xfId="1" applyNumberFormat="1" applyFont="1" applyBorder="1" applyAlignment="1"/>
    <xf numFmtId="171" fontId="0" fillId="0" borderId="0" xfId="1" applyNumberFormat="1" applyFont="1" applyBorder="1"/>
    <xf numFmtId="176" fontId="0" fillId="0" borderId="10" xfId="2" applyNumberFormat="1" applyFont="1" applyBorder="1"/>
    <xf numFmtId="0" fontId="1" fillId="0" borderId="4" xfId="0" applyFont="1" applyBorder="1" applyAlignment="1">
      <alignment horizontal="center"/>
    </xf>
    <xf numFmtId="176" fontId="45" fillId="0" borderId="0" xfId="2" applyNumberFormat="1" applyFont="1"/>
    <xf numFmtId="41" fontId="45" fillId="0" borderId="0" xfId="0" applyNumberFormat="1" applyFont="1"/>
    <xf numFmtId="41" fontId="45" fillId="0" borderId="4" xfId="0" applyNumberFormat="1" applyFont="1" applyBorder="1"/>
    <xf numFmtId="0" fontId="45" fillId="0" borderId="0" xfId="0" applyFont="1"/>
    <xf numFmtId="176" fontId="45" fillId="0" borderId="4" xfId="2" applyNumberFormat="1" applyFont="1" applyBorder="1"/>
    <xf numFmtId="44" fontId="45" fillId="0" borderId="0" xfId="2" applyFont="1"/>
    <xf numFmtId="0" fontId="1" fillId="0" borderId="0" xfId="0" applyFont="1" applyAlignment="1">
      <alignment horizontal="center"/>
    </xf>
    <xf numFmtId="0" fontId="11" fillId="0" borderId="4" xfId="0" applyFont="1" applyFill="1" applyBorder="1" applyAlignment="1">
      <alignment horizontal="left"/>
    </xf>
    <xf numFmtId="41" fontId="38" fillId="0" borderId="8" xfId="0" applyNumberFormat="1" applyFont="1" applyFill="1" applyBorder="1"/>
    <xf numFmtId="0" fontId="11" fillId="0" borderId="0" xfId="0" applyFont="1" applyFill="1"/>
    <xf numFmtId="41" fontId="38" fillId="0" borderId="5" xfId="0" applyNumberFormat="1" applyFont="1" applyFill="1" applyBorder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4" xfId="0" applyNumberFormat="1" applyFont="1" applyFill="1" applyBorder="1"/>
    <xf numFmtId="41" fontId="12" fillId="0" borderId="0" xfId="0" applyNumberFormat="1" applyFont="1" applyFill="1" applyBorder="1"/>
    <xf numFmtId="0" fontId="16" fillId="0" borderId="0" xfId="0" applyFont="1" applyFill="1"/>
    <xf numFmtId="41" fontId="30" fillId="0" borderId="0" xfId="0" applyNumberFormat="1" applyFont="1" applyFill="1" applyBorder="1"/>
    <xf numFmtId="41" fontId="12" fillId="0" borderId="5" xfId="0" applyNumberFormat="1" applyFont="1" applyFill="1" applyBorder="1"/>
    <xf numFmtId="0" fontId="14" fillId="0" borderId="0" xfId="0" applyFont="1" applyFill="1"/>
    <xf numFmtId="0" fontId="34" fillId="0" borderId="0" xfId="0" applyNumberFormat="1" applyFont="1" applyFill="1" applyBorder="1" applyAlignment="1"/>
    <xf numFmtId="41" fontId="1" fillId="0" borderId="0" xfId="0" applyNumberFormat="1" applyFont="1" applyFill="1" applyBorder="1"/>
    <xf numFmtId="41" fontId="1" fillId="0" borderId="4" xfId="0" applyNumberFormat="1" applyFont="1" applyFill="1" applyBorder="1"/>
    <xf numFmtId="0" fontId="12" fillId="0" borderId="0" xfId="0" applyNumberFormat="1" applyFont="1" applyFill="1" applyAlignment="1"/>
    <xf numFmtId="41" fontId="12" fillId="0" borderId="0" xfId="0" applyNumberFormat="1" applyFont="1" applyFill="1"/>
    <xf numFmtId="40" fontId="12" fillId="0" borderId="0" xfId="0" applyNumberFormat="1" applyFont="1" applyFill="1" applyAlignment="1">
      <alignment horizontal="center"/>
    </xf>
    <xf numFmtId="42" fontId="12" fillId="0" borderId="4" xfId="0" applyNumberFormat="1" applyFont="1" applyFill="1" applyBorder="1"/>
    <xf numFmtId="41" fontId="42" fillId="0" borderId="0" xfId="0" applyNumberFormat="1" applyFont="1" applyFill="1"/>
    <xf numFmtId="38" fontId="38" fillId="0" borderId="0" xfId="0" applyNumberFormat="1" applyFont="1" applyFill="1"/>
    <xf numFmtId="3" fontId="1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Border="1" applyAlignment="1">
      <alignment horizontal="centerContinuous"/>
    </xf>
    <xf numFmtId="3" fontId="22" fillId="0" borderId="0" xfId="0" applyNumberFormat="1" applyFont="1" applyFill="1" applyAlignment="1">
      <alignment horizontal="left"/>
    </xf>
    <xf numFmtId="3" fontId="22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Border="1" applyAlignment="1">
      <alignment horizontal="centerContinuous"/>
    </xf>
    <xf numFmtId="3" fontId="15" fillId="0" borderId="0" xfId="0" applyNumberFormat="1" applyFont="1" applyFill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Continuous"/>
    </xf>
    <xf numFmtId="3" fontId="1" fillId="0" borderId="2" xfId="0" applyNumberFormat="1" applyFont="1" applyFill="1" applyBorder="1" applyAlignment="1">
      <alignment horizontal="center"/>
    </xf>
    <xf numFmtId="37" fontId="1" fillId="0" borderId="2" xfId="0" applyNumberFormat="1" applyFont="1" applyFill="1" applyBorder="1" applyAlignment="1">
      <alignment horizontal="center"/>
    </xf>
    <xf numFmtId="176" fontId="0" fillId="0" borderId="0" xfId="2" applyNumberFormat="1" applyFont="1" applyFill="1"/>
    <xf numFmtId="171" fontId="1" fillId="0" borderId="4" xfId="1" applyNumberFormat="1" applyFont="1" applyFill="1" applyBorder="1" applyAlignment="1"/>
    <xf numFmtId="41" fontId="0" fillId="0" borderId="4" xfId="0" applyNumberFormat="1" applyFill="1" applyBorder="1"/>
    <xf numFmtId="41" fontId="1" fillId="0" borderId="0" xfId="0" applyNumberFormat="1" applyFont="1" applyFill="1" applyAlignment="1" applyProtection="1">
      <protection locked="0"/>
    </xf>
    <xf numFmtId="43" fontId="0" fillId="0" borderId="0" xfId="0" applyNumberFormat="1" applyFill="1"/>
    <xf numFmtId="10" fontId="1" fillId="0" borderId="0" xfId="0" applyNumberFormat="1" applyFont="1" applyFill="1" applyAlignment="1"/>
    <xf numFmtId="2" fontId="1" fillId="0" borderId="0" xfId="0" applyNumberFormat="1" applyFont="1" applyFill="1" applyAlignment="1"/>
    <xf numFmtId="3" fontId="1" fillId="0" borderId="0" xfId="0" applyNumberFormat="1" applyFont="1" applyFill="1" applyAlignment="1" applyProtection="1">
      <protection locked="0"/>
    </xf>
    <xf numFmtId="172" fontId="3" fillId="0" borderId="0" xfId="0" applyNumberFormat="1" applyFont="1" applyFill="1" applyAlignment="1" applyProtection="1">
      <protection locked="0"/>
    </xf>
    <xf numFmtId="3" fontId="20" fillId="0" borderId="0" xfId="0" applyNumberFormat="1" applyFont="1" applyFill="1" applyAlignment="1"/>
    <xf numFmtId="176" fontId="0" fillId="0" borderId="4" xfId="2" applyNumberFormat="1" applyFont="1" applyFill="1" applyBorder="1"/>
    <xf numFmtId="3" fontId="45" fillId="0" borderId="4" xfId="0" applyNumberFormat="1" applyFont="1" applyFill="1" applyBorder="1" applyAlignment="1"/>
    <xf numFmtId="3" fontId="3" fillId="0" borderId="4" xfId="0" applyNumberFormat="1" applyFont="1" applyFill="1" applyBorder="1" applyAlignment="1"/>
    <xf numFmtId="3" fontId="45" fillId="0" borderId="0" xfId="0" quotePrefix="1" applyNumberFormat="1" applyFont="1" applyFill="1" applyAlignment="1"/>
    <xf numFmtId="0" fontId="45" fillId="0" borderId="0" xfId="0" applyNumberFormat="1" applyFont="1" applyAlignment="1">
      <alignment horizontal="center"/>
    </xf>
    <xf numFmtId="0" fontId="45" fillId="0" borderId="4" xfId="0" applyNumberFormat="1" applyFont="1" applyBorder="1" applyAlignment="1">
      <alignment horizontal="center"/>
    </xf>
    <xf numFmtId="43" fontId="1" fillId="0" borderId="0" xfId="0" applyNumberFormat="1" applyFont="1" applyAlignment="1"/>
    <xf numFmtId="43" fontId="6" fillId="0" borderId="0" xfId="0" applyNumberFormat="1" applyFont="1" applyFill="1" applyBorder="1" applyAlignment="1">
      <alignment horizontal="left" vertical="top"/>
    </xf>
    <xf numFmtId="171" fontId="1" fillId="0" borderId="0" xfId="1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45" fillId="0" borderId="4" xfId="0" applyNumberFormat="1" applyFont="1" applyFill="1" applyBorder="1" applyAlignment="1">
      <alignment horizontal="center"/>
    </xf>
    <xf numFmtId="170" fontId="1" fillId="0" borderId="0" xfId="1" applyNumberFormat="1" applyFont="1" applyFill="1" applyAlignment="1"/>
    <xf numFmtId="0" fontId="1" fillId="0" borderId="4" xfId="0" applyNumberFormat="1" applyFont="1" applyFill="1" applyBorder="1" applyAlignment="1"/>
    <xf numFmtId="179" fontId="45" fillId="0" borderId="6" xfId="1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14" applyNumberFormat="1" applyFont="1" applyFill="1" applyAlignment="1">
      <alignment horizontal="left"/>
    </xf>
    <xf numFmtId="10" fontId="30" fillId="0" borderId="0" xfId="13" applyNumberFormat="1" applyFont="1" applyFill="1" applyBorder="1"/>
    <xf numFmtId="0" fontId="55" fillId="0" borderId="0" xfId="0" applyFont="1" applyFill="1" applyAlignment="1">
      <alignment horizontal="left"/>
    </xf>
    <xf numFmtId="165" fontId="55" fillId="0" borderId="0" xfId="0" applyNumberFormat="1" applyFont="1" applyFill="1" applyAlignment="1">
      <alignment horizontal="left"/>
    </xf>
    <xf numFmtId="2" fontId="1" fillId="0" borderId="0" xfId="14" applyNumberFormat="1" applyFont="1" applyFill="1" applyAlignment="1" applyProtection="1">
      <alignment horizontal="left"/>
    </xf>
    <xf numFmtId="0" fontId="55" fillId="0" borderId="0" xfId="0" applyFont="1" applyFill="1" applyAlignment="1">
      <alignment horizontal="left" indent="2"/>
    </xf>
    <xf numFmtId="10" fontId="30" fillId="0" borderId="0" xfId="13" applyNumberFormat="1" applyFont="1" applyFill="1" applyBorder="1" applyAlignment="1">
      <alignment horizontal="right"/>
    </xf>
    <xf numFmtId="168" fontId="52" fillId="0" borderId="0" xfId="0" applyNumberFormat="1" applyFont="1" applyAlignment="1">
      <alignment horizontal="left"/>
    </xf>
    <xf numFmtId="37" fontId="1" fillId="0" borderId="0" xfId="5" applyNumberFormat="1" applyFont="1" applyFill="1" applyBorder="1" applyProtection="1">
      <protection locked="0"/>
    </xf>
    <xf numFmtId="0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right"/>
    </xf>
    <xf numFmtId="0" fontId="1" fillId="0" borderId="0" xfId="0" quotePrefix="1" applyFont="1" applyFill="1"/>
    <xf numFmtId="171" fontId="1" fillId="0" borderId="0" xfId="0" quotePrefix="1" applyNumberFormat="1" applyFont="1" applyFill="1"/>
    <xf numFmtId="0" fontId="1" fillId="0" borderId="0" xfId="0" quotePrefix="1" applyFont="1" applyFill="1" applyAlignment="1">
      <alignment horizontal="left"/>
    </xf>
    <xf numFmtId="171" fontId="1" fillId="0" borderId="0" xfId="0" quotePrefix="1" applyNumberFormat="1" applyFont="1" applyFill="1" applyAlignment="1">
      <alignment horizontal="left"/>
    </xf>
    <xf numFmtId="176" fontId="45" fillId="0" borderId="0" xfId="2" applyNumberFormat="1" applyFont="1" applyAlignment="1"/>
    <xf numFmtId="10" fontId="1" fillId="0" borderId="0" xfId="13" applyNumberFormat="1" applyFont="1" applyFill="1"/>
    <xf numFmtId="171" fontId="1" fillId="0" borderId="0" xfId="0" applyNumberFormat="1" applyFont="1" applyFill="1" applyBorder="1" applyAlignment="1"/>
    <xf numFmtId="179" fontId="45" fillId="0" borderId="2" xfId="1" applyNumberFormat="1" applyFont="1" applyFill="1" applyBorder="1" applyAlignment="1"/>
    <xf numFmtId="176" fontId="51" fillId="0" borderId="6" xfId="2" applyNumberFormat="1" applyFont="1" applyFill="1" applyBorder="1" applyAlignment="1"/>
    <xf numFmtId="37" fontId="30" fillId="6" borderId="0" xfId="0" applyNumberFormat="1" applyFont="1" applyFill="1" applyBorder="1"/>
    <xf numFmtId="37" fontId="1" fillId="6" borderId="0" xfId="5" applyFont="1" applyFill="1" applyBorder="1" applyProtection="1"/>
    <xf numFmtId="170" fontId="1" fillId="0" borderId="0" xfId="0" applyNumberFormat="1" applyFont="1" applyAlignment="1"/>
    <xf numFmtId="3" fontId="12" fillId="10" borderId="0" xfId="0" applyNumberFormat="1" applyFont="1" applyFill="1" applyAlignment="1">
      <alignment horizontal="centerContinuous"/>
    </xf>
    <xf numFmtId="0" fontId="1" fillId="0" borderId="0" xfId="0" applyNumberFormat="1" applyFont="1" applyAlignment="1">
      <alignment horizontal="center"/>
    </xf>
    <xf numFmtId="167" fontId="0" fillId="6" borderId="0" xfId="0" applyNumberFormat="1" applyFill="1"/>
    <xf numFmtId="0" fontId="1" fillId="0" borderId="4" xfId="0" quotePrefix="1" applyNumberFormat="1" applyFont="1" applyBorder="1" applyAlignment="1">
      <alignment horizontal="center"/>
    </xf>
    <xf numFmtId="3" fontId="3" fillId="0" borderId="0" xfId="0" quotePrefix="1" applyNumberFormat="1" applyFont="1" applyAlignment="1"/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3" fontId="45" fillId="0" borderId="0" xfId="1" applyNumberFormat="1" applyFont="1" applyFill="1" applyAlignment="1"/>
    <xf numFmtId="3" fontId="43" fillId="0" borderId="0" xfId="0" applyNumberFormat="1" applyFont="1" applyFill="1" applyBorder="1" applyAlignment="1">
      <alignment horizontal="center"/>
    </xf>
    <xf numFmtId="171" fontId="1" fillId="0" borderId="4" xfId="1" applyNumberFormat="1" applyFont="1" applyFill="1" applyBorder="1" applyAlignment="1">
      <alignment horizontal="center"/>
    </xf>
    <xf numFmtId="171" fontId="1" fillId="0" borderId="4" xfId="0" applyNumberFormat="1" applyFont="1" applyBorder="1" applyAlignment="1"/>
    <xf numFmtId="43" fontId="45" fillId="3" borderId="0" xfId="1" applyNumberFormat="1" applyFont="1" applyFill="1" applyAlignment="1"/>
    <xf numFmtId="0" fontId="1" fillId="6" borderId="0" xfId="0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left"/>
    </xf>
    <xf numFmtId="41" fontId="30" fillId="0" borderId="4" xfId="0" applyNumberFormat="1" applyFont="1" applyFill="1" applyBorder="1"/>
    <xf numFmtId="0" fontId="45" fillId="0" borderId="4" xfId="0" applyNumberFormat="1" applyFont="1" applyBorder="1" applyAlignment="1"/>
    <xf numFmtId="176" fontId="45" fillId="0" borderId="6" xfId="2" applyNumberFormat="1" applyFont="1" applyBorder="1" applyAlignment="1"/>
    <xf numFmtId="0" fontId="45" fillId="0" borderId="0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0" xfId="0" applyNumberFormat="1" applyFont="1" applyFill="1" applyBorder="1" applyAlignment="1"/>
    <xf numFmtId="0" fontId="3" fillId="0" borderId="0" xfId="0" applyNumberFormat="1" applyFont="1" applyFill="1" applyAlignment="1">
      <alignment horizontal="centerContinuous" vertical="top" wrapText="1"/>
    </xf>
    <xf numFmtId="0" fontId="3" fillId="0" borderId="0" xfId="0" quotePrefix="1" applyNumberFormat="1" applyFont="1" applyFill="1" applyAlignment="1"/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3" fontId="17" fillId="0" borderId="0" xfId="0" applyNumberFormat="1" applyFont="1" applyFill="1" applyAlignment="1">
      <alignment horizontal="centerContinuous"/>
    </xf>
    <xf numFmtId="3" fontId="38" fillId="0" borderId="0" xfId="0" applyNumberFormat="1" applyFont="1" applyFill="1" applyAlignment="1">
      <alignment horizontal="centerContinuous"/>
    </xf>
    <xf numFmtId="3" fontId="12" fillId="0" borderId="0" xfId="0" applyNumberFormat="1" applyFont="1" applyFill="1" applyAlignment="1"/>
    <xf numFmtId="3" fontId="12" fillId="0" borderId="0" xfId="0" applyNumberFormat="1" applyFont="1" applyFill="1" applyAlignment="1">
      <alignment horizontal="centerContinuous"/>
    </xf>
    <xf numFmtId="3" fontId="1" fillId="0" borderId="2" xfId="0" applyNumberFormat="1" applyFont="1" applyFill="1" applyBorder="1" applyAlignment="1"/>
    <xf numFmtId="3" fontId="1" fillId="0" borderId="2" xfId="0" applyNumberFormat="1" applyFont="1" applyFill="1" applyBorder="1" applyAlignment="1" applyProtection="1">
      <alignment horizontal="centerContinuous"/>
      <protection locked="0"/>
    </xf>
    <xf numFmtId="3" fontId="1" fillId="0" borderId="4" xfId="0" applyNumberFormat="1" applyFont="1" applyFill="1" applyBorder="1" applyAlignment="1">
      <alignment horizontal="centerContinuous"/>
    </xf>
    <xf numFmtId="3" fontId="11" fillId="0" borderId="0" xfId="0" applyNumberFormat="1" applyFont="1" applyFill="1" applyAlignment="1"/>
    <xf numFmtId="3" fontId="1" fillId="0" borderId="0" xfId="0" applyNumberFormat="1" applyFont="1" applyFill="1" applyBorder="1" applyAlignment="1"/>
    <xf numFmtId="176" fontId="1" fillId="0" borderId="0" xfId="2" applyNumberFormat="1" applyFont="1" applyFill="1" applyAlignment="1"/>
    <xf numFmtId="173" fontId="1" fillId="0" borderId="0" xfId="0" applyNumberFormat="1" applyFont="1" applyFill="1" applyBorder="1" applyAlignment="1"/>
    <xf numFmtId="173" fontId="1" fillId="0" borderId="0" xfId="0" applyNumberFormat="1" applyFont="1" applyFill="1" applyAlignment="1"/>
    <xf numFmtId="173" fontId="1" fillId="0" borderId="4" xfId="0" applyNumberFormat="1" applyFont="1" applyFill="1" applyBorder="1" applyAlignment="1"/>
    <xf numFmtId="3" fontId="1" fillId="0" borderId="3" xfId="0" applyNumberFormat="1" applyFont="1" applyFill="1" applyBorder="1" applyAlignment="1"/>
    <xf numFmtId="37" fontId="1" fillId="0" borderId="0" xfId="0" applyNumberFormat="1" applyFont="1" applyFill="1" applyAlignment="1"/>
    <xf numFmtId="167" fontId="1" fillId="0" borderId="6" xfId="0" applyNumberFormat="1" applyFont="1" applyFill="1" applyBorder="1" applyAlignment="1"/>
    <xf numFmtId="166" fontId="1" fillId="0" borderId="0" xfId="0" applyNumberFormat="1" applyFont="1" applyFill="1" applyAlignment="1"/>
    <xf numFmtId="166" fontId="1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0" fontId="3" fillId="0" borderId="0" xfId="3" applyNumberFormat="1" applyFont="1" applyFill="1" applyAlignment="1">
      <alignment horizontal="centerContinuous"/>
    </xf>
    <xf numFmtId="0" fontId="3" fillId="0" borderId="0" xfId="0" applyFont="1" applyFill="1"/>
    <xf numFmtId="0" fontId="9" fillId="0" borderId="0" xfId="0" applyFont="1" applyFill="1"/>
    <xf numFmtId="0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justify" vertical="top" wrapText="1"/>
    </xf>
    <xf numFmtId="0" fontId="3" fillId="0" borderId="4" xfId="3" applyNumberFormat="1" applyFont="1" applyFill="1" applyBorder="1" applyAlignment="1">
      <alignment horizontal="centerContinuous"/>
    </xf>
    <xf numFmtId="0" fontId="3" fillId="0" borderId="2" xfId="3" applyNumberFormat="1" applyFont="1" applyFill="1" applyBorder="1" applyAlignment="1">
      <alignment horizontal="center"/>
    </xf>
    <xf numFmtId="0" fontId="3" fillId="0" borderId="0" xfId="3" applyNumberFormat="1" applyFont="1" applyFill="1" applyAlignment="1">
      <alignment horizontal="center"/>
    </xf>
    <xf numFmtId="0" fontId="3" fillId="0" borderId="2" xfId="3" applyNumberFormat="1" applyFont="1" applyFill="1" applyBorder="1" applyAlignment="1">
      <alignment horizontal="centerContinuous"/>
    </xf>
    <xf numFmtId="0" fontId="3" fillId="0" borderId="2" xfId="3" applyNumberFormat="1" applyFont="1" applyFill="1" applyBorder="1" applyAlignment="1">
      <alignment horizontal="left"/>
    </xf>
    <xf numFmtId="0" fontId="3" fillId="0" borderId="2" xfId="3" quotePrefix="1" applyNumberFormat="1" applyFont="1" applyFill="1" applyBorder="1" applyAlignment="1">
      <alignment horizontal="center"/>
    </xf>
    <xf numFmtId="0" fontId="3" fillId="0" borderId="0" xfId="3" applyNumberFormat="1" applyFont="1" applyFill="1" applyBorder="1" applyAlignment="1"/>
    <xf numFmtId="164" fontId="3" fillId="0" borderId="0" xfId="3" applyNumberFormat="1" applyFont="1" applyFill="1" applyAlignment="1"/>
    <xf numFmtId="0" fontId="3" fillId="0" borderId="0" xfId="3" applyNumberFormat="1" applyFont="1" applyFill="1" applyAlignment="1">
      <alignment horizontal="right"/>
    </xf>
    <xf numFmtId="0" fontId="5" fillId="0" borderId="0" xfId="0" applyNumberFormat="1" applyFont="1" applyFill="1" applyAlignment="1"/>
    <xf numFmtId="164" fontId="3" fillId="0" borderId="0" xfId="0" applyNumberFormat="1" applyFont="1" applyFill="1" applyBorder="1" applyAlignment="1"/>
    <xf numFmtId="165" fontId="3" fillId="0" borderId="0" xfId="0" applyNumberFormat="1" applyFont="1" applyFill="1" applyAlignment="1"/>
    <xf numFmtId="172" fontId="3" fillId="0" borderId="0" xfId="0" applyNumberFormat="1" applyFont="1" applyFill="1" applyBorder="1" applyAlignment="1"/>
    <xf numFmtId="164" fontId="3" fillId="0" borderId="0" xfId="0" applyNumberFormat="1" applyFont="1" applyFill="1" applyAlignment="1"/>
    <xf numFmtId="172" fontId="3" fillId="0" borderId="0" xfId="0" applyNumberFormat="1" applyFont="1" applyFill="1" applyBorder="1"/>
    <xf numFmtId="172" fontId="3" fillId="0" borderId="0" xfId="0" applyNumberFormat="1" applyFont="1" applyFill="1"/>
    <xf numFmtId="165" fontId="3" fillId="0" borderId="0" xfId="0" applyNumberFormat="1" applyFont="1" applyFill="1" applyBorder="1" applyAlignment="1"/>
    <xf numFmtId="0" fontId="3" fillId="0" borderId="0" xfId="0" applyFont="1" applyFill="1" applyBorder="1"/>
    <xf numFmtId="164" fontId="3" fillId="0" borderId="4" xfId="0" applyNumberFormat="1" applyFont="1" applyFill="1" applyBorder="1" applyAlignment="1"/>
    <xf numFmtId="172" fontId="3" fillId="0" borderId="4" xfId="0" applyNumberFormat="1" applyFont="1" applyFill="1" applyBorder="1" applyAlignment="1"/>
    <xf numFmtId="172" fontId="3" fillId="0" borderId="4" xfId="0" applyNumberFormat="1" applyFont="1" applyFill="1" applyBorder="1"/>
    <xf numFmtId="172" fontId="3" fillId="0" borderId="6" xfId="0" applyNumberFormat="1" applyFont="1" applyFill="1" applyBorder="1" applyAlignment="1"/>
    <xf numFmtId="0" fontId="3" fillId="0" borderId="0" xfId="0" applyNumberFormat="1" applyFont="1" applyFill="1" applyAlignment="1">
      <alignment horizontal="left" vertical="top"/>
    </xf>
    <xf numFmtId="0" fontId="4" fillId="0" borderId="0" xfId="0" applyNumberFormat="1" applyFont="1" applyFill="1" applyAlignment="1">
      <alignment horizontal="centerContinuous" vertical="top" wrapText="1"/>
    </xf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/>
    <xf numFmtId="0" fontId="3" fillId="0" borderId="4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Continuous"/>
    </xf>
    <xf numFmtId="175" fontId="3" fillId="0" borderId="2" xfId="0" applyNumberFormat="1" applyFont="1" applyFill="1" applyBorder="1" applyAlignment="1">
      <alignment horizontal="center"/>
    </xf>
    <xf numFmtId="171" fontId="9" fillId="0" borderId="0" xfId="1" applyNumberFormat="1" applyFont="1" applyFill="1" applyBorder="1"/>
    <xf numFmtId="179" fontId="3" fillId="0" borderId="0" xfId="1" applyNumberFormat="1" applyFont="1" applyFill="1" applyBorder="1" applyAlignment="1"/>
    <xf numFmtId="171" fontId="9" fillId="0" borderId="4" xfId="1" applyNumberFormat="1" applyFont="1" applyFill="1" applyBorder="1"/>
    <xf numFmtId="179" fontId="3" fillId="0" borderId="4" xfId="1" applyNumberFormat="1" applyFont="1" applyFill="1" applyBorder="1" applyAlignment="1"/>
    <xf numFmtId="171" fontId="9" fillId="0" borderId="6" xfId="1" applyNumberFormat="1" applyFont="1" applyFill="1" applyBorder="1"/>
    <xf numFmtId="179" fontId="3" fillId="0" borderId="6" xfId="1" applyNumberFormat="1" applyFont="1" applyFill="1" applyBorder="1" applyAlignment="1"/>
    <xf numFmtId="172" fontId="38" fillId="0" borderId="0" xfId="0" applyNumberFormat="1" applyFont="1" applyFill="1"/>
    <xf numFmtId="176" fontId="32" fillId="0" borderId="6" xfId="2" applyNumberFormat="1" applyFont="1" applyFill="1" applyBorder="1" applyProtection="1">
      <protection locked="0"/>
    </xf>
    <xf numFmtId="0" fontId="12" fillId="0" borderId="4" xfId="0" applyFont="1" applyFill="1" applyBorder="1" applyAlignment="1">
      <alignment horizontal="center"/>
    </xf>
    <xf numFmtId="37" fontId="12" fillId="0" borderId="4" xfId="5" applyNumberFormat="1" applyFont="1" applyFill="1" applyBorder="1" applyAlignment="1" applyProtection="1">
      <alignment horizontal="center"/>
      <protection locked="0"/>
    </xf>
    <xf numFmtId="0" fontId="12" fillId="0" borderId="4" xfId="0" applyFont="1" applyBorder="1" applyAlignment="1">
      <alignment horizontal="center"/>
    </xf>
    <xf numFmtId="37" fontId="12" fillId="0" borderId="8" xfId="0" applyNumberFormat="1" applyFont="1" applyBorder="1" applyAlignment="1">
      <alignment horizontal="center"/>
    </xf>
    <xf numFmtId="0" fontId="42" fillId="0" borderId="0" xfId="0" applyNumberFormat="1" applyFont="1" applyAlignment="1">
      <alignment horizontal="center"/>
    </xf>
    <xf numFmtId="0" fontId="45" fillId="0" borderId="0" xfId="0" applyNumberFormat="1" applyFont="1" applyAlignment="1">
      <alignment horizontal="center"/>
    </xf>
    <xf numFmtId="0" fontId="45" fillId="0" borderId="4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45" fillId="0" borderId="0" xfId="0" applyNumberFormat="1" applyFont="1" applyBorder="1" applyAlignment="1">
      <alignment horizontal="justify" vertical="top" wrapText="1"/>
    </xf>
    <xf numFmtId="0" fontId="45" fillId="0" borderId="0" xfId="0" applyFont="1" applyBorder="1" applyAlignment="1">
      <alignment horizontal="justify" vertical="top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45" fillId="0" borderId="0" xfId="0" applyNumberFormat="1" applyFont="1" applyFill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0" xfId="3" applyNumberFormat="1" applyFont="1" applyFill="1" applyAlignment="1">
      <alignment horizontal="justify" vertical="top" wrapText="1"/>
    </xf>
    <xf numFmtId="0" fontId="3" fillId="0" borderId="4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5">
    <cellStyle name="Comma" xfId="1" builtinId="3"/>
    <cellStyle name="Currency" xfId="2" builtinId="4"/>
    <cellStyle name="Normal" xfId="0" builtinId="0"/>
    <cellStyle name="Normal_F   6   7" xfId="3"/>
    <cellStyle name="Normal_PECO Gas Exhibits" xfId="4"/>
    <cellStyle name="Normal_PGW 2006" xfId="5"/>
    <cellStyle name="Normal_PGW Budget FY06-07 Final 08Jun06" xfId="6"/>
    <cellStyle name="Normal_Proof Sheets (20A3 Less MD)" xfId="7"/>
    <cellStyle name="Normal_Table 3" xfId="14"/>
    <cellStyle name="Output Amounts" xfId="8"/>
    <cellStyle name="Output Column Headings" xfId="9"/>
    <cellStyle name="Output Line Items" xfId="10"/>
    <cellStyle name="Output Report Heading" xfId="11"/>
    <cellStyle name="Output Report Title" xfId="12"/>
    <cellStyle name="Percent" xfId="1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</xdr:col>
      <xdr:colOff>0</xdr:colOff>
      <xdr:row>10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781050" y="1362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>
          <a:off x="7810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78105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781050" y="1184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0</xdr:colOff>
      <xdr:row>87</xdr:row>
      <xdr:rowOff>0</xdr:rowOff>
    </xdr:to>
    <xdr:sp macro="" textlink="">
      <xdr:nvSpPr>
        <xdr:cNvPr id="1029" name="Line 5"/>
        <xdr:cNvSpPr>
          <a:spLocks noChangeShapeType="1"/>
        </xdr:cNvSpPr>
      </xdr:nvSpPr>
      <xdr:spPr bwMode="auto">
        <a:xfrm>
          <a:off x="781050" y="1299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96</xdr:row>
      <xdr:rowOff>0</xdr:rowOff>
    </xdr:from>
    <xdr:to>
      <xdr:col>1</xdr:col>
      <xdr:colOff>0</xdr:colOff>
      <xdr:row>96</xdr:row>
      <xdr:rowOff>0</xdr:rowOff>
    </xdr:to>
    <xdr:sp macro="" textlink="">
      <xdr:nvSpPr>
        <xdr:cNvPr id="1030" name="Line 6"/>
        <xdr:cNvSpPr>
          <a:spLocks noChangeShapeType="1"/>
        </xdr:cNvSpPr>
      </xdr:nvSpPr>
      <xdr:spPr bwMode="auto">
        <a:xfrm>
          <a:off x="781050" y="14706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12</xdr:row>
      <xdr:rowOff>0</xdr:rowOff>
    </xdr:from>
    <xdr:to>
      <xdr:col>1</xdr:col>
      <xdr:colOff>0</xdr:colOff>
      <xdr:row>12</xdr:row>
      <xdr:rowOff>0</xdr:rowOff>
    </xdr:to>
    <xdr:sp macro="" textlink="">
      <xdr:nvSpPr>
        <xdr:cNvPr id="1031" name="Line 7"/>
        <xdr:cNvSpPr>
          <a:spLocks noChangeShapeType="1"/>
        </xdr:cNvSpPr>
      </xdr:nvSpPr>
      <xdr:spPr bwMode="auto">
        <a:xfrm>
          <a:off x="781050" y="1743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63</xdr:row>
      <xdr:rowOff>0</xdr:rowOff>
    </xdr:from>
    <xdr:to>
      <xdr:col>1</xdr:col>
      <xdr:colOff>0</xdr:colOff>
      <xdr:row>63</xdr:row>
      <xdr:rowOff>0</xdr:rowOff>
    </xdr:to>
    <xdr:sp macro="" textlink="">
      <xdr:nvSpPr>
        <xdr:cNvPr id="1032" name="Line 8"/>
        <xdr:cNvSpPr>
          <a:spLocks noChangeShapeType="1"/>
        </xdr:cNvSpPr>
      </xdr:nvSpPr>
      <xdr:spPr bwMode="auto">
        <a:xfrm>
          <a:off x="781050" y="880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69</xdr:row>
      <xdr:rowOff>0</xdr:rowOff>
    </xdr:from>
    <xdr:to>
      <xdr:col>1</xdr:col>
      <xdr:colOff>0</xdr:colOff>
      <xdr:row>69</xdr:row>
      <xdr:rowOff>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>
          <a:off x="78105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81</xdr:row>
      <xdr:rowOff>0</xdr:rowOff>
    </xdr:from>
    <xdr:to>
      <xdr:col>1</xdr:col>
      <xdr:colOff>0</xdr:colOff>
      <xdr:row>81</xdr:row>
      <xdr:rowOff>0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>
          <a:off x="781050" y="1184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87</xdr:row>
      <xdr:rowOff>0</xdr:rowOff>
    </xdr:from>
    <xdr:to>
      <xdr:col>1</xdr:col>
      <xdr:colOff>0</xdr:colOff>
      <xdr:row>87</xdr:row>
      <xdr:rowOff>0</xdr:rowOff>
    </xdr:to>
    <xdr:sp macro="" textlink="">
      <xdr:nvSpPr>
        <xdr:cNvPr id="1035" name="Line 11"/>
        <xdr:cNvSpPr>
          <a:spLocks noChangeShapeType="1"/>
        </xdr:cNvSpPr>
      </xdr:nvSpPr>
      <xdr:spPr bwMode="auto">
        <a:xfrm>
          <a:off x="781050" y="12992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781050" y="6000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61</xdr:row>
      <xdr:rowOff>0</xdr:rowOff>
    </xdr:from>
    <xdr:to>
      <xdr:col>1</xdr:col>
      <xdr:colOff>0</xdr:colOff>
      <xdr:row>61</xdr:row>
      <xdr:rowOff>0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781050" y="8420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66</xdr:row>
      <xdr:rowOff>0</xdr:rowOff>
    </xdr:from>
    <xdr:to>
      <xdr:col>1</xdr:col>
      <xdr:colOff>0</xdr:colOff>
      <xdr:row>66</xdr:row>
      <xdr:rowOff>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>
          <a:off x="781050" y="9372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79</xdr:row>
      <xdr:rowOff>0</xdr:rowOff>
    </xdr:from>
    <xdr:to>
      <xdr:col>1</xdr:col>
      <xdr:colOff>0</xdr:colOff>
      <xdr:row>79</xdr:row>
      <xdr:rowOff>0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>
          <a:off x="781050" y="11468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0</xdr:colOff>
      <xdr:row>85</xdr:row>
      <xdr:rowOff>0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>
          <a:off x="781050" y="1261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92</xdr:row>
      <xdr:rowOff>0</xdr:rowOff>
    </xdr:from>
    <xdr:to>
      <xdr:col>1</xdr:col>
      <xdr:colOff>0</xdr:colOff>
      <xdr:row>92</xdr:row>
      <xdr:rowOff>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>
          <a:off x="781050" y="13944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0%20-%20PROJECT%20FILES\331050%20AND%20100350%20-%20HARRISBURG\UGI%20Utilities\Gas%20Division\059058-COS\5-ProjectWorking\B-PreliminaryReport\UGI-PNG%20ADR%202007%203%2030%20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PNG%20Rate%20Case%20R-2016/PNG%20-%20Models%20-%20Final%20Drafts/UGI%20PNG%20COS%202018%20-%20No%20Mai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Table 3"/>
      <sheetName val="Table 4"/>
      <sheetName val="Table 5"/>
      <sheetName val="Deprate"/>
      <sheetName val="Descriptions"/>
      <sheetName val="Plant Statement"/>
      <sheetName val="Reserve Schedule"/>
      <sheetName val="Reserve for LDS"/>
      <sheetName val="Reserve Allocation"/>
      <sheetName val="Contro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 xml:space="preserve"> ACCT  GROUP        </v>
          </cell>
          <cell r="B1" t="str">
            <v>LS DATE</v>
          </cell>
          <cell r="C1" t="str">
            <v xml:space="preserve">  LIFE</v>
          </cell>
          <cell r="D1" t="str">
            <v>TP CV</v>
          </cell>
          <cell r="E1" t="str">
            <v xml:space="preserve"> SAL</v>
          </cell>
          <cell r="F1" t="str">
            <v xml:space="preserve">        COST</v>
          </cell>
          <cell r="G1" t="str">
            <v xml:space="preserve">  RESERVE</v>
          </cell>
          <cell r="H1" t="str">
            <v xml:space="preserve">  FUT-ACC</v>
          </cell>
          <cell r="I1" t="str">
            <v xml:space="preserve">  ANNUAL</v>
          </cell>
          <cell r="J1" t="str">
            <v xml:space="preserve"> RATE</v>
          </cell>
          <cell r="K1" t="str">
            <v>REM LF</v>
          </cell>
          <cell r="L1" t="str">
            <v xml:space="preserve"> PR LF</v>
          </cell>
          <cell r="M1" t="str">
            <v>PR CV</v>
          </cell>
          <cell r="N1" t="str">
            <v>FSAL</v>
          </cell>
          <cell r="O1" t="str">
            <v>% RES</v>
          </cell>
          <cell r="P1" t="str">
            <v>AGE</v>
          </cell>
          <cell r="Q1" t="str">
            <v xml:space="preserve"> CALC RES</v>
          </cell>
          <cell r="R1" t="str">
            <v>WHLF ANN</v>
          </cell>
          <cell r="S1" t="str">
            <v>WHLF RT</v>
          </cell>
        </row>
        <row r="2">
          <cell r="A2">
            <v>301</v>
          </cell>
          <cell r="B2" t="str">
            <v xml:space="preserve">       </v>
          </cell>
          <cell r="C2">
            <v>0</v>
          </cell>
          <cell r="D2" t="str">
            <v xml:space="preserve">ND   </v>
          </cell>
          <cell r="E2">
            <v>0</v>
          </cell>
          <cell r="F2">
            <v>86238.28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 t="str">
            <v xml:space="preserve">      </v>
          </cell>
          <cell r="M2" t="str">
            <v xml:space="preserve">     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</row>
        <row r="3">
          <cell r="A3">
            <v>302</v>
          </cell>
          <cell r="B3" t="str">
            <v xml:space="preserve">       </v>
          </cell>
          <cell r="C3">
            <v>0</v>
          </cell>
          <cell r="D3" t="str">
            <v xml:space="preserve">ND   </v>
          </cell>
          <cell r="E3">
            <v>0</v>
          </cell>
          <cell r="F3">
            <v>9422.34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 t="str">
            <v xml:space="preserve">      </v>
          </cell>
          <cell r="M3" t="str">
            <v xml:space="preserve">     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</row>
        <row r="4">
          <cell r="A4">
            <v>374.1</v>
          </cell>
          <cell r="B4" t="str">
            <v xml:space="preserve">       </v>
          </cell>
          <cell r="C4">
            <v>0</v>
          </cell>
          <cell r="D4" t="str">
            <v xml:space="preserve">ND   </v>
          </cell>
          <cell r="E4">
            <v>0</v>
          </cell>
          <cell r="F4">
            <v>301213.95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 t="str">
            <v xml:space="preserve">      </v>
          </cell>
          <cell r="M4" t="str">
            <v xml:space="preserve">     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</row>
        <row r="5">
          <cell r="A5">
            <v>374.2</v>
          </cell>
          <cell r="B5" t="str">
            <v xml:space="preserve">       </v>
          </cell>
          <cell r="C5">
            <v>0</v>
          </cell>
          <cell r="D5" t="str">
            <v xml:space="preserve">ND   </v>
          </cell>
          <cell r="E5">
            <v>0</v>
          </cell>
          <cell r="F5">
            <v>2073898.06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 t="str">
            <v xml:space="preserve">      </v>
          </cell>
          <cell r="M5" t="str">
            <v xml:space="preserve">     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</row>
        <row r="6">
          <cell r="A6" t="str">
            <v xml:space="preserve">375.00 00010000     </v>
          </cell>
          <cell r="B6">
            <v>45992</v>
          </cell>
          <cell r="C6">
            <v>55</v>
          </cell>
          <cell r="D6" t="str">
            <v xml:space="preserve">R1.5 </v>
          </cell>
          <cell r="E6">
            <v>0</v>
          </cell>
          <cell r="F6">
            <v>4834.8500000000004</v>
          </cell>
          <cell r="G6">
            <v>3703</v>
          </cell>
          <cell r="H6">
            <v>1132</v>
          </cell>
          <cell r="I6">
            <v>69</v>
          </cell>
          <cell r="J6">
            <v>1.43</v>
          </cell>
          <cell r="K6">
            <v>16.399999999999999</v>
          </cell>
          <cell r="L6" t="str">
            <v xml:space="preserve">      </v>
          </cell>
          <cell r="M6" t="str">
            <v xml:space="preserve">     </v>
          </cell>
          <cell r="N6">
            <v>0</v>
          </cell>
          <cell r="O6">
            <v>76.599999999999994</v>
          </cell>
          <cell r="P6">
            <v>29.1</v>
          </cell>
          <cell r="Q6">
            <v>2903</v>
          </cell>
          <cell r="R6">
            <v>119</v>
          </cell>
          <cell r="S6">
            <v>2.46</v>
          </cell>
        </row>
        <row r="7">
          <cell r="A7" t="str">
            <v xml:space="preserve">375.00 00020000     </v>
          </cell>
          <cell r="B7">
            <v>40878</v>
          </cell>
          <cell r="C7">
            <v>55</v>
          </cell>
          <cell r="D7" t="str">
            <v xml:space="preserve">R1.5 </v>
          </cell>
          <cell r="E7">
            <v>0</v>
          </cell>
          <cell r="F7">
            <v>2171.17</v>
          </cell>
          <cell r="G7">
            <v>2484</v>
          </cell>
          <cell r="H7">
            <v>-313</v>
          </cell>
          <cell r="I7">
            <v>0</v>
          </cell>
          <cell r="J7">
            <v>0</v>
          </cell>
          <cell r="K7">
            <v>0</v>
          </cell>
          <cell r="L7" t="str">
            <v xml:space="preserve">      </v>
          </cell>
          <cell r="M7" t="str">
            <v xml:space="preserve">     </v>
          </cell>
          <cell r="N7">
            <v>0</v>
          </cell>
          <cell r="O7">
            <v>114.4</v>
          </cell>
          <cell r="P7">
            <v>41.3</v>
          </cell>
          <cell r="Q7">
            <v>1947</v>
          </cell>
          <cell r="R7">
            <v>55</v>
          </cell>
          <cell r="S7">
            <v>2.5299999999999998</v>
          </cell>
        </row>
        <row r="8">
          <cell r="A8" t="str">
            <v xml:space="preserve">375.00 00070000     </v>
          </cell>
          <cell r="B8">
            <v>42339</v>
          </cell>
          <cell r="C8">
            <v>55</v>
          </cell>
          <cell r="D8" t="str">
            <v xml:space="preserve">R1.5 </v>
          </cell>
          <cell r="E8">
            <v>0</v>
          </cell>
          <cell r="F8">
            <v>1283</v>
          </cell>
          <cell r="G8">
            <v>1214</v>
          </cell>
          <cell r="H8">
            <v>69</v>
          </cell>
          <cell r="I8">
            <v>9</v>
          </cell>
          <cell r="J8">
            <v>0.7</v>
          </cell>
          <cell r="K8">
            <v>7.7</v>
          </cell>
          <cell r="L8" t="str">
            <v xml:space="preserve">      </v>
          </cell>
          <cell r="M8" t="str">
            <v xml:space="preserve">     </v>
          </cell>
          <cell r="N8">
            <v>0</v>
          </cell>
          <cell r="O8">
            <v>94.6</v>
          </cell>
          <cell r="P8">
            <v>25.3</v>
          </cell>
          <cell r="Q8">
            <v>952</v>
          </cell>
          <cell r="R8">
            <v>42</v>
          </cell>
          <cell r="S8">
            <v>3.27</v>
          </cell>
        </row>
        <row r="9">
          <cell r="A9" t="str">
            <v xml:space="preserve">375.00 00110000     </v>
          </cell>
          <cell r="B9">
            <v>42339</v>
          </cell>
          <cell r="C9">
            <v>55</v>
          </cell>
          <cell r="D9" t="str">
            <v xml:space="preserve">R1.5 </v>
          </cell>
          <cell r="E9">
            <v>0</v>
          </cell>
          <cell r="F9">
            <v>685.13</v>
          </cell>
          <cell r="G9">
            <v>654</v>
          </cell>
          <cell r="H9">
            <v>31</v>
          </cell>
          <cell r="I9">
            <v>4</v>
          </cell>
          <cell r="J9">
            <v>0.57999999999999996</v>
          </cell>
          <cell r="K9">
            <v>7.8</v>
          </cell>
          <cell r="L9" t="str">
            <v xml:space="preserve">      </v>
          </cell>
          <cell r="M9" t="str">
            <v xml:space="preserve">     </v>
          </cell>
          <cell r="N9">
            <v>0</v>
          </cell>
          <cell r="O9">
            <v>95.5</v>
          </cell>
          <cell r="P9">
            <v>26.3</v>
          </cell>
          <cell r="Q9">
            <v>513</v>
          </cell>
          <cell r="R9">
            <v>22</v>
          </cell>
          <cell r="S9">
            <v>3.21</v>
          </cell>
        </row>
        <row r="10">
          <cell r="A10" t="str">
            <v xml:space="preserve">375.00 00160000     </v>
          </cell>
          <cell r="B10">
            <v>42339</v>
          </cell>
          <cell r="C10">
            <v>55</v>
          </cell>
          <cell r="D10" t="str">
            <v xml:space="preserve">R1.5 </v>
          </cell>
          <cell r="E10">
            <v>0</v>
          </cell>
          <cell r="F10">
            <v>44728.75</v>
          </cell>
          <cell r="G10">
            <v>45947</v>
          </cell>
          <cell r="H10">
            <v>-1218</v>
          </cell>
          <cell r="I10">
            <v>0</v>
          </cell>
          <cell r="J10">
            <v>0</v>
          </cell>
          <cell r="K10">
            <v>0</v>
          </cell>
          <cell r="L10" t="str">
            <v xml:space="preserve">      </v>
          </cell>
          <cell r="M10" t="str">
            <v xml:space="preserve">     </v>
          </cell>
          <cell r="N10">
            <v>0</v>
          </cell>
          <cell r="O10">
            <v>102.7</v>
          </cell>
          <cell r="P10">
            <v>37.299999999999997</v>
          </cell>
          <cell r="Q10">
            <v>36016</v>
          </cell>
          <cell r="R10">
            <v>1123</v>
          </cell>
          <cell r="S10">
            <v>2.5099999999999998</v>
          </cell>
        </row>
        <row r="11">
          <cell r="A11" t="str">
            <v xml:space="preserve">375.00 00190000     </v>
          </cell>
          <cell r="B11">
            <v>42339</v>
          </cell>
          <cell r="C11">
            <v>55</v>
          </cell>
          <cell r="D11" t="str">
            <v xml:space="preserve">R1.5 </v>
          </cell>
          <cell r="E11">
            <v>0</v>
          </cell>
          <cell r="F11">
            <v>31446.97</v>
          </cell>
          <cell r="G11">
            <v>30884</v>
          </cell>
          <cell r="H11">
            <v>563</v>
          </cell>
          <cell r="I11">
            <v>70</v>
          </cell>
          <cell r="J11">
            <v>0.22</v>
          </cell>
          <cell r="K11">
            <v>8</v>
          </cell>
          <cell r="L11" t="str">
            <v xml:space="preserve">      </v>
          </cell>
          <cell r="M11" t="str">
            <v xml:space="preserve">     </v>
          </cell>
          <cell r="N11">
            <v>0</v>
          </cell>
          <cell r="O11">
            <v>98.2</v>
          </cell>
          <cell r="P11">
            <v>36.700000000000003</v>
          </cell>
          <cell r="Q11">
            <v>24209</v>
          </cell>
          <cell r="R11">
            <v>929</v>
          </cell>
          <cell r="S11">
            <v>2.95</v>
          </cell>
        </row>
        <row r="12">
          <cell r="A12" t="str">
            <v xml:space="preserve">375.00 00200000     </v>
          </cell>
          <cell r="B12">
            <v>41244</v>
          </cell>
          <cell r="C12">
            <v>55</v>
          </cell>
          <cell r="D12" t="str">
            <v xml:space="preserve">R1.5 </v>
          </cell>
          <cell r="E12">
            <v>0</v>
          </cell>
          <cell r="F12">
            <v>1705.05</v>
          </cell>
          <cell r="G12">
            <v>1888</v>
          </cell>
          <cell r="H12">
            <v>-183</v>
          </cell>
          <cell r="I12">
            <v>0</v>
          </cell>
          <cell r="J12">
            <v>0</v>
          </cell>
          <cell r="K12">
            <v>0</v>
          </cell>
          <cell r="L12" t="str">
            <v xml:space="preserve">      </v>
          </cell>
          <cell r="M12" t="str">
            <v xml:space="preserve">     </v>
          </cell>
          <cell r="N12">
            <v>0</v>
          </cell>
          <cell r="O12">
            <v>110.7</v>
          </cell>
          <cell r="P12">
            <v>38.4</v>
          </cell>
          <cell r="Q12">
            <v>1480</v>
          </cell>
          <cell r="R12">
            <v>45</v>
          </cell>
          <cell r="S12">
            <v>2.64</v>
          </cell>
        </row>
        <row r="13">
          <cell r="A13" t="str">
            <v xml:space="preserve">375.00 00210000     </v>
          </cell>
          <cell r="B13">
            <v>40148</v>
          </cell>
          <cell r="C13">
            <v>55</v>
          </cell>
          <cell r="D13" t="str">
            <v xml:space="preserve">R1.5 </v>
          </cell>
          <cell r="E13">
            <v>0</v>
          </cell>
          <cell r="F13">
            <v>2980.16</v>
          </cell>
          <cell r="G13">
            <v>3591</v>
          </cell>
          <cell r="H13">
            <v>-611</v>
          </cell>
          <cell r="I13">
            <v>0</v>
          </cell>
          <cell r="J13">
            <v>0</v>
          </cell>
          <cell r="K13">
            <v>0</v>
          </cell>
          <cell r="L13" t="str">
            <v xml:space="preserve">      </v>
          </cell>
          <cell r="M13" t="str">
            <v xml:space="preserve">     </v>
          </cell>
          <cell r="N13">
            <v>0</v>
          </cell>
          <cell r="O13">
            <v>120.5</v>
          </cell>
          <cell r="P13">
            <v>43.3</v>
          </cell>
          <cell r="Q13">
            <v>2815</v>
          </cell>
          <cell r="R13">
            <v>75</v>
          </cell>
          <cell r="S13">
            <v>2.52</v>
          </cell>
        </row>
        <row r="14">
          <cell r="A14" t="str">
            <v xml:space="preserve">375.00 00230000     </v>
          </cell>
          <cell r="B14">
            <v>43435</v>
          </cell>
          <cell r="C14">
            <v>55</v>
          </cell>
          <cell r="D14" t="str">
            <v xml:space="preserve">R1.5 </v>
          </cell>
          <cell r="E14">
            <v>0</v>
          </cell>
          <cell r="F14">
            <v>9832.89</v>
          </cell>
          <cell r="G14">
            <v>9262</v>
          </cell>
          <cell r="H14">
            <v>571</v>
          </cell>
          <cell r="I14">
            <v>55</v>
          </cell>
          <cell r="J14">
            <v>0.56000000000000005</v>
          </cell>
          <cell r="K14">
            <v>10.4</v>
          </cell>
          <cell r="L14" t="str">
            <v xml:space="preserve">      </v>
          </cell>
          <cell r="M14" t="str">
            <v xml:space="preserve">     </v>
          </cell>
          <cell r="N14">
            <v>0</v>
          </cell>
          <cell r="O14">
            <v>94.2</v>
          </cell>
          <cell r="P14">
            <v>34.299999999999997</v>
          </cell>
          <cell r="Q14">
            <v>7260</v>
          </cell>
          <cell r="R14">
            <v>247</v>
          </cell>
          <cell r="S14">
            <v>2.5099999999999998</v>
          </cell>
        </row>
        <row r="15">
          <cell r="A15" t="str">
            <v xml:space="preserve">375.00 00240000     </v>
          </cell>
          <cell r="B15">
            <v>42705</v>
          </cell>
          <cell r="C15">
            <v>55</v>
          </cell>
          <cell r="D15" t="str">
            <v xml:space="preserve">R1.5 </v>
          </cell>
          <cell r="E15">
            <v>0</v>
          </cell>
          <cell r="F15">
            <v>12354.87</v>
          </cell>
          <cell r="G15">
            <v>11498</v>
          </cell>
          <cell r="H15">
            <v>857</v>
          </cell>
          <cell r="I15">
            <v>95</v>
          </cell>
          <cell r="J15">
            <v>0.77</v>
          </cell>
          <cell r="K15">
            <v>9</v>
          </cell>
          <cell r="L15" t="str">
            <v xml:space="preserve">      </v>
          </cell>
          <cell r="M15" t="str">
            <v xml:space="preserve">     </v>
          </cell>
          <cell r="N15">
            <v>0</v>
          </cell>
          <cell r="O15">
            <v>93.1</v>
          </cell>
          <cell r="P15">
            <v>30.6</v>
          </cell>
          <cell r="Q15">
            <v>9013</v>
          </cell>
          <cell r="R15">
            <v>380</v>
          </cell>
          <cell r="S15">
            <v>3.08</v>
          </cell>
        </row>
        <row r="16">
          <cell r="A16" t="str">
            <v xml:space="preserve">375.00 00250000     </v>
          </cell>
          <cell r="B16">
            <v>43435</v>
          </cell>
          <cell r="C16">
            <v>55</v>
          </cell>
          <cell r="D16" t="str">
            <v xml:space="preserve">R1.5 </v>
          </cell>
          <cell r="E16">
            <v>0</v>
          </cell>
          <cell r="F16">
            <v>8778.07</v>
          </cell>
          <cell r="G16">
            <v>5028</v>
          </cell>
          <cell r="H16">
            <v>3751</v>
          </cell>
          <cell r="I16">
            <v>344</v>
          </cell>
          <cell r="J16">
            <v>3.92</v>
          </cell>
          <cell r="K16">
            <v>10.9</v>
          </cell>
          <cell r="L16" t="str">
            <v xml:space="preserve">      </v>
          </cell>
          <cell r="M16" t="str">
            <v xml:space="preserve">     </v>
          </cell>
          <cell r="N16">
            <v>0</v>
          </cell>
          <cell r="O16">
            <v>57.3</v>
          </cell>
          <cell r="P16">
            <v>14.8</v>
          </cell>
          <cell r="Q16">
            <v>3941</v>
          </cell>
          <cell r="R16">
            <v>444</v>
          </cell>
          <cell r="S16">
            <v>5.0599999999999996</v>
          </cell>
        </row>
        <row r="17">
          <cell r="A17" t="str">
            <v xml:space="preserve">375.00 00260000     </v>
          </cell>
          <cell r="B17">
            <v>43435</v>
          </cell>
          <cell r="C17">
            <v>55</v>
          </cell>
          <cell r="D17" t="str">
            <v xml:space="preserve">R1.5 </v>
          </cell>
          <cell r="E17">
            <v>0</v>
          </cell>
          <cell r="F17">
            <v>13855.77</v>
          </cell>
          <cell r="G17">
            <v>10409</v>
          </cell>
          <cell r="H17">
            <v>3447</v>
          </cell>
          <cell r="I17">
            <v>317</v>
          </cell>
          <cell r="J17">
            <v>2.29</v>
          </cell>
          <cell r="K17">
            <v>10.9</v>
          </cell>
          <cell r="L17" t="str">
            <v xml:space="preserve">      </v>
          </cell>
          <cell r="M17" t="str">
            <v xml:space="preserve">     </v>
          </cell>
          <cell r="N17">
            <v>0</v>
          </cell>
          <cell r="O17">
            <v>75.099999999999994</v>
          </cell>
          <cell r="P17">
            <v>24</v>
          </cell>
          <cell r="Q17">
            <v>8159</v>
          </cell>
          <cell r="R17">
            <v>530</v>
          </cell>
          <cell r="S17">
            <v>3.83</v>
          </cell>
        </row>
        <row r="18">
          <cell r="A18" t="str">
            <v xml:space="preserve">375.00 00270000     </v>
          </cell>
          <cell r="B18">
            <v>42339</v>
          </cell>
          <cell r="C18">
            <v>55</v>
          </cell>
          <cell r="D18" t="str">
            <v xml:space="preserve">R1.5 </v>
          </cell>
          <cell r="E18">
            <v>0</v>
          </cell>
          <cell r="F18">
            <v>690.3</v>
          </cell>
          <cell r="G18">
            <v>730</v>
          </cell>
          <cell r="H18">
            <v>-40</v>
          </cell>
          <cell r="I18">
            <v>0</v>
          </cell>
          <cell r="J18">
            <v>0</v>
          </cell>
          <cell r="K18">
            <v>0</v>
          </cell>
          <cell r="L18" t="str">
            <v xml:space="preserve">      </v>
          </cell>
          <cell r="M18" t="str">
            <v xml:space="preserve">     </v>
          </cell>
          <cell r="N18">
            <v>0</v>
          </cell>
          <cell r="O18">
            <v>105.8</v>
          </cell>
          <cell r="P18">
            <v>44.3</v>
          </cell>
          <cell r="Q18">
            <v>572</v>
          </cell>
          <cell r="R18">
            <v>16</v>
          </cell>
          <cell r="S18">
            <v>2.3199999999999998</v>
          </cell>
        </row>
        <row r="19">
          <cell r="A19" t="str">
            <v xml:space="preserve">375.00 00280000     </v>
          </cell>
          <cell r="B19">
            <v>42705</v>
          </cell>
          <cell r="C19">
            <v>55</v>
          </cell>
          <cell r="D19" t="str">
            <v xml:space="preserve">R1.5 </v>
          </cell>
          <cell r="E19">
            <v>0</v>
          </cell>
          <cell r="F19">
            <v>9592.74</v>
          </cell>
          <cell r="G19">
            <v>9579</v>
          </cell>
          <cell r="H19">
            <v>14</v>
          </cell>
          <cell r="I19">
            <v>2</v>
          </cell>
          <cell r="J19">
            <v>0.02</v>
          </cell>
          <cell r="K19">
            <v>7</v>
          </cell>
          <cell r="L19" t="str">
            <v xml:space="preserve">      </v>
          </cell>
          <cell r="M19" t="str">
            <v xml:space="preserve">     </v>
          </cell>
          <cell r="N19">
            <v>0</v>
          </cell>
          <cell r="O19">
            <v>99.9</v>
          </cell>
          <cell r="P19">
            <v>36.299999999999997</v>
          </cell>
          <cell r="Q19">
            <v>7509</v>
          </cell>
          <cell r="R19">
            <v>241</v>
          </cell>
          <cell r="S19">
            <v>2.5099999999999998</v>
          </cell>
        </row>
        <row r="20">
          <cell r="A20" t="str">
            <v xml:space="preserve">375.00 00290000     </v>
          </cell>
          <cell r="B20">
            <v>54027</v>
          </cell>
          <cell r="C20">
            <v>55</v>
          </cell>
          <cell r="D20" t="str">
            <v xml:space="preserve">R1.5 </v>
          </cell>
          <cell r="E20">
            <v>0</v>
          </cell>
          <cell r="F20">
            <v>8668.67</v>
          </cell>
          <cell r="G20">
            <v>2654</v>
          </cell>
          <cell r="H20">
            <v>6015</v>
          </cell>
          <cell r="I20">
            <v>180</v>
          </cell>
          <cell r="J20">
            <v>2.08</v>
          </cell>
          <cell r="K20">
            <v>33.4</v>
          </cell>
          <cell r="L20" t="str">
            <v xml:space="preserve">      </v>
          </cell>
          <cell r="M20" t="str">
            <v xml:space="preserve">     </v>
          </cell>
          <cell r="N20">
            <v>0</v>
          </cell>
          <cell r="O20">
            <v>30.6</v>
          </cell>
          <cell r="P20">
            <v>15.2</v>
          </cell>
          <cell r="Q20">
            <v>2080</v>
          </cell>
          <cell r="R20">
            <v>201</v>
          </cell>
          <cell r="S20">
            <v>2.3199999999999998</v>
          </cell>
        </row>
        <row r="21">
          <cell r="A21" t="str">
            <v xml:space="preserve">375.00 00300000     </v>
          </cell>
          <cell r="B21">
            <v>41244</v>
          </cell>
          <cell r="C21">
            <v>55</v>
          </cell>
          <cell r="D21" t="str">
            <v xml:space="preserve">R1.5 </v>
          </cell>
          <cell r="E21">
            <v>0</v>
          </cell>
          <cell r="F21">
            <v>17260.810000000001</v>
          </cell>
          <cell r="G21">
            <v>19237</v>
          </cell>
          <cell r="H21">
            <v>-1976</v>
          </cell>
          <cell r="I21">
            <v>0</v>
          </cell>
          <cell r="J21">
            <v>0</v>
          </cell>
          <cell r="K21">
            <v>0</v>
          </cell>
          <cell r="L21" t="str">
            <v xml:space="preserve">      </v>
          </cell>
          <cell r="M21" t="str">
            <v xml:space="preserve">     </v>
          </cell>
          <cell r="N21">
            <v>0</v>
          </cell>
          <cell r="O21">
            <v>111.4</v>
          </cell>
          <cell r="P21">
            <v>40.299999999999997</v>
          </cell>
          <cell r="Q21">
            <v>15079</v>
          </cell>
          <cell r="R21">
            <v>433</v>
          </cell>
          <cell r="S21">
            <v>2.5099999999999998</v>
          </cell>
        </row>
        <row r="22">
          <cell r="A22" t="str">
            <v xml:space="preserve">375.00 00310000     </v>
          </cell>
          <cell r="B22">
            <v>41609</v>
          </cell>
          <cell r="C22">
            <v>55</v>
          </cell>
          <cell r="D22" t="str">
            <v xml:space="preserve">R1.5 </v>
          </cell>
          <cell r="E22">
            <v>0</v>
          </cell>
          <cell r="F22">
            <v>5093.8599999999997</v>
          </cell>
          <cell r="G22">
            <v>5003</v>
          </cell>
          <cell r="H22">
            <v>91</v>
          </cell>
          <cell r="I22">
            <v>15</v>
          </cell>
          <cell r="J22">
            <v>0.28999999999999998</v>
          </cell>
          <cell r="K22">
            <v>6.1</v>
          </cell>
          <cell r="L22" t="str">
            <v xml:space="preserve">      </v>
          </cell>
          <cell r="M22" t="str">
            <v xml:space="preserve">     </v>
          </cell>
          <cell r="N22">
            <v>0</v>
          </cell>
          <cell r="O22">
            <v>98.2</v>
          </cell>
          <cell r="P22">
            <v>28.1</v>
          </cell>
          <cell r="Q22">
            <v>3922</v>
          </cell>
          <cell r="R22">
            <v>193</v>
          </cell>
          <cell r="S22">
            <v>3.79</v>
          </cell>
        </row>
        <row r="23">
          <cell r="A23" t="str">
            <v xml:space="preserve">375.00 00320000     </v>
          </cell>
          <cell r="B23">
            <v>51105</v>
          </cell>
          <cell r="C23">
            <v>55</v>
          </cell>
          <cell r="D23" t="str">
            <v xml:space="preserve">R1.5 </v>
          </cell>
          <cell r="E23">
            <v>0</v>
          </cell>
          <cell r="F23">
            <v>14723.61</v>
          </cell>
          <cell r="G23">
            <v>5387</v>
          </cell>
          <cell r="H23">
            <v>9337</v>
          </cell>
          <cell r="I23">
            <v>329</v>
          </cell>
          <cell r="J23">
            <v>2.23</v>
          </cell>
          <cell r="K23">
            <v>28.4</v>
          </cell>
          <cell r="L23" t="str">
            <v xml:space="preserve">      </v>
          </cell>
          <cell r="M23" t="str">
            <v xml:space="preserve">     </v>
          </cell>
          <cell r="N23">
            <v>0</v>
          </cell>
          <cell r="O23">
            <v>36.6</v>
          </cell>
          <cell r="P23">
            <v>13.3</v>
          </cell>
          <cell r="Q23">
            <v>4223</v>
          </cell>
          <cell r="R23">
            <v>370</v>
          </cell>
          <cell r="S23">
            <v>2.5099999999999998</v>
          </cell>
        </row>
        <row r="24">
          <cell r="A24" t="str">
            <v xml:space="preserve">375.00 00330000     </v>
          </cell>
          <cell r="B24">
            <v>41244</v>
          </cell>
          <cell r="C24">
            <v>55</v>
          </cell>
          <cell r="D24" t="str">
            <v xml:space="preserve">R1.5 </v>
          </cell>
          <cell r="E24">
            <v>0</v>
          </cell>
          <cell r="F24">
            <v>1549.58</v>
          </cell>
          <cell r="G24">
            <v>1727</v>
          </cell>
          <cell r="H24">
            <v>-177</v>
          </cell>
          <cell r="I24">
            <v>0</v>
          </cell>
          <cell r="J24">
            <v>0</v>
          </cell>
          <cell r="K24">
            <v>0</v>
          </cell>
          <cell r="L24" t="str">
            <v xml:space="preserve">      </v>
          </cell>
          <cell r="M24" t="str">
            <v xml:space="preserve">     </v>
          </cell>
          <cell r="N24">
            <v>0</v>
          </cell>
          <cell r="O24">
            <v>111.4</v>
          </cell>
          <cell r="P24">
            <v>40.299999999999997</v>
          </cell>
          <cell r="Q24">
            <v>1354</v>
          </cell>
          <cell r="R24">
            <v>39</v>
          </cell>
          <cell r="S24">
            <v>2.52</v>
          </cell>
        </row>
        <row r="25">
          <cell r="A25" t="str">
            <v xml:space="preserve">375.00 00340000     </v>
          </cell>
          <cell r="B25">
            <v>46722</v>
          </cell>
          <cell r="C25">
            <v>55</v>
          </cell>
          <cell r="D25" t="str">
            <v xml:space="preserve">R1.5 </v>
          </cell>
          <cell r="E25">
            <v>0</v>
          </cell>
          <cell r="F25">
            <v>29305.57</v>
          </cell>
          <cell r="G25">
            <v>19258</v>
          </cell>
          <cell r="H25">
            <v>10048</v>
          </cell>
          <cell r="I25">
            <v>547</v>
          </cell>
          <cell r="J25">
            <v>1.87</v>
          </cell>
          <cell r="K25">
            <v>18.399999999999999</v>
          </cell>
          <cell r="L25" t="str">
            <v xml:space="preserve">      </v>
          </cell>
          <cell r="M25" t="str">
            <v xml:space="preserve">     </v>
          </cell>
          <cell r="N25">
            <v>0</v>
          </cell>
          <cell r="O25">
            <v>65.7</v>
          </cell>
          <cell r="P25">
            <v>28.4</v>
          </cell>
          <cell r="Q25">
            <v>15096</v>
          </cell>
          <cell r="R25">
            <v>797</v>
          </cell>
          <cell r="S25">
            <v>2.72</v>
          </cell>
        </row>
        <row r="26">
          <cell r="A26" t="str">
            <v xml:space="preserve">375.00 00350000     </v>
          </cell>
          <cell r="B26">
            <v>46357</v>
          </cell>
          <cell r="C26">
            <v>55</v>
          </cell>
          <cell r="D26" t="str">
            <v xml:space="preserve">R1.5 </v>
          </cell>
          <cell r="E26">
            <v>0</v>
          </cell>
          <cell r="F26">
            <v>20048.48</v>
          </cell>
          <cell r="G26">
            <v>12690</v>
          </cell>
          <cell r="H26">
            <v>7358</v>
          </cell>
          <cell r="I26">
            <v>416</v>
          </cell>
          <cell r="J26">
            <v>2.0699999999999998</v>
          </cell>
          <cell r="K26">
            <v>17.7</v>
          </cell>
          <cell r="L26" t="str">
            <v xml:space="preserve">      </v>
          </cell>
          <cell r="M26" t="str">
            <v xml:space="preserve">     </v>
          </cell>
          <cell r="N26">
            <v>0</v>
          </cell>
          <cell r="O26">
            <v>63.3</v>
          </cell>
          <cell r="P26">
            <v>21.9</v>
          </cell>
          <cell r="Q26">
            <v>9947</v>
          </cell>
          <cell r="R26">
            <v>573</v>
          </cell>
          <cell r="S26">
            <v>2.86</v>
          </cell>
        </row>
        <row r="27">
          <cell r="A27" t="str">
            <v xml:space="preserve">375.00 00360000     </v>
          </cell>
          <cell r="B27">
            <v>43800</v>
          </cell>
          <cell r="C27">
            <v>55</v>
          </cell>
          <cell r="D27" t="str">
            <v xml:space="preserve">R1.5 </v>
          </cell>
          <cell r="E27">
            <v>0</v>
          </cell>
          <cell r="F27">
            <v>3910.02</v>
          </cell>
          <cell r="G27">
            <v>3719</v>
          </cell>
          <cell r="H27">
            <v>191</v>
          </cell>
          <cell r="I27">
            <v>17</v>
          </cell>
          <cell r="J27">
            <v>0.43</v>
          </cell>
          <cell r="K27">
            <v>11.2</v>
          </cell>
          <cell r="L27" t="str">
            <v xml:space="preserve">      </v>
          </cell>
          <cell r="M27" t="str">
            <v xml:space="preserve">     </v>
          </cell>
          <cell r="N27">
            <v>0</v>
          </cell>
          <cell r="O27">
            <v>95.1</v>
          </cell>
          <cell r="P27">
            <v>40.5</v>
          </cell>
          <cell r="Q27">
            <v>2915</v>
          </cell>
          <cell r="R27">
            <v>91</v>
          </cell>
          <cell r="S27">
            <v>2.33</v>
          </cell>
        </row>
        <row r="28">
          <cell r="A28" t="str">
            <v xml:space="preserve">375.00 00370000     </v>
          </cell>
          <cell r="B28">
            <v>44531</v>
          </cell>
          <cell r="C28">
            <v>55</v>
          </cell>
          <cell r="D28" t="str">
            <v xml:space="preserve">R1.5 </v>
          </cell>
          <cell r="E28">
            <v>0</v>
          </cell>
          <cell r="F28">
            <v>7301.09</v>
          </cell>
          <cell r="G28">
            <v>4696</v>
          </cell>
          <cell r="H28">
            <v>2605</v>
          </cell>
          <cell r="I28">
            <v>191</v>
          </cell>
          <cell r="J28">
            <v>2.62</v>
          </cell>
          <cell r="K28">
            <v>13.6</v>
          </cell>
          <cell r="L28" t="str">
            <v xml:space="preserve">      </v>
          </cell>
          <cell r="M28" t="str">
            <v xml:space="preserve">     </v>
          </cell>
          <cell r="N28">
            <v>0</v>
          </cell>
          <cell r="O28">
            <v>64.3</v>
          </cell>
          <cell r="P28">
            <v>22.5</v>
          </cell>
          <cell r="Q28">
            <v>3681</v>
          </cell>
          <cell r="R28">
            <v>270</v>
          </cell>
          <cell r="S28">
            <v>3.7</v>
          </cell>
        </row>
        <row r="29">
          <cell r="A29" t="str">
            <v xml:space="preserve">375.00 00380000     </v>
          </cell>
          <cell r="B29">
            <v>42339</v>
          </cell>
          <cell r="C29">
            <v>55</v>
          </cell>
          <cell r="D29" t="str">
            <v xml:space="preserve">R1.5 </v>
          </cell>
          <cell r="E29">
            <v>0</v>
          </cell>
          <cell r="F29">
            <v>14864.07</v>
          </cell>
          <cell r="G29">
            <v>13687</v>
          </cell>
          <cell r="H29">
            <v>1177</v>
          </cell>
          <cell r="I29">
            <v>145</v>
          </cell>
          <cell r="J29">
            <v>0.98</v>
          </cell>
          <cell r="K29">
            <v>8.1</v>
          </cell>
          <cell r="L29" t="str">
            <v xml:space="preserve">      </v>
          </cell>
          <cell r="M29" t="str">
            <v xml:space="preserve">     </v>
          </cell>
          <cell r="N29">
            <v>0</v>
          </cell>
          <cell r="O29">
            <v>92.1</v>
          </cell>
          <cell r="P29">
            <v>30.8</v>
          </cell>
          <cell r="Q29">
            <v>10729</v>
          </cell>
          <cell r="R29">
            <v>523</v>
          </cell>
          <cell r="S29">
            <v>3.52</v>
          </cell>
        </row>
        <row r="30">
          <cell r="A30" t="str">
            <v xml:space="preserve">375.00 00400000     </v>
          </cell>
          <cell r="B30">
            <v>42705</v>
          </cell>
          <cell r="C30">
            <v>55</v>
          </cell>
          <cell r="D30" t="str">
            <v xml:space="preserve">R1.5 </v>
          </cell>
          <cell r="E30">
            <v>0</v>
          </cell>
          <cell r="F30">
            <v>11199.51</v>
          </cell>
          <cell r="G30">
            <v>9622</v>
          </cell>
          <cell r="H30">
            <v>1578</v>
          </cell>
          <cell r="I30">
            <v>174</v>
          </cell>
          <cell r="J30">
            <v>1.55</v>
          </cell>
          <cell r="K30">
            <v>9.1</v>
          </cell>
          <cell r="L30" t="str">
            <v xml:space="preserve">      </v>
          </cell>
          <cell r="M30" t="str">
            <v xml:space="preserve">     </v>
          </cell>
          <cell r="N30">
            <v>0</v>
          </cell>
          <cell r="O30">
            <v>85.9</v>
          </cell>
          <cell r="P30">
            <v>28.6</v>
          </cell>
          <cell r="Q30">
            <v>7542</v>
          </cell>
          <cell r="R30">
            <v>413</v>
          </cell>
          <cell r="S30">
            <v>3.69</v>
          </cell>
        </row>
        <row r="31">
          <cell r="A31" t="str">
            <v xml:space="preserve">375.00 00410000     </v>
          </cell>
          <cell r="B31">
            <v>42339</v>
          </cell>
          <cell r="C31">
            <v>55</v>
          </cell>
          <cell r="D31" t="str">
            <v xml:space="preserve">R1.5 </v>
          </cell>
          <cell r="E31">
            <v>0</v>
          </cell>
          <cell r="F31">
            <v>14781.45</v>
          </cell>
          <cell r="G31">
            <v>13509</v>
          </cell>
          <cell r="H31">
            <v>1273</v>
          </cell>
          <cell r="I31">
            <v>157</v>
          </cell>
          <cell r="J31">
            <v>1.06</v>
          </cell>
          <cell r="K31">
            <v>8.1</v>
          </cell>
          <cell r="L31" t="str">
            <v xml:space="preserve">      </v>
          </cell>
          <cell r="M31" t="str">
            <v xml:space="preserve">     </v>
          </cell>
          <cell r="N31">
            <v>0</v>
          </cell>
          <cell r="O31">
            <v>91.4</v>
          </cell>
          <cell r="P31">
            <v>30.2</v>
          </cell>
          <cell r="Q31">
            <v>10589</v>
          </cell>
          <cell r="R31">
            <v>530</v>
          </cell>
          <cell r="S31">
            <v>3.59</v>
          </cell>
        </row>
        <row r="32">
          <cell r="A32" t="str">
            <v xml:space="preserve">375.00 00420000     </v>
          </cell>
          <cell r="B32">
            <v>42339</v>
          </cell>
          <cell r="C32">
            <v>55</v>
          </cell>
          <cell r="D32" t="str">
            <v xml:space="preserve">R1.5 </v>
          </cell>
          <cell r="E32">
            <v>0</v>
          </cell>
          <cell r="F32">
            <v>6161.24</v>
          </cell>
          <cell r="G32">
            <v>6329</v>
          </cell>
          <cell r="H32">
            <v>-168</v>
          </cell>
          <cell r="I32">
            <v>0</v>
          </cell>
          <cell r="J32">
            <v>0</v>
          </cell>
          <cell r="K32">
            <v>0</v>
          </cell>
          <cell r="L32" t="str">
            <v xml:space="preserve">      </v>
          </cell>
          <cell r="M32" t="str">
            <v xml:space="preserve">     </v>
          </cell>
          <cell r="N32">
            <v>0</v>
          </cell>
          <cell r="O32">
            <v>102.7</v>
          </cell>
          <cell r="P32">
            <v>37.299999999999997</v>
          </cell>
          <cell r="Q32">
            <v>4961</v>
          </cell>
          <cell r="R32">
            <v>155</v>
          </cell>
          <cell r="S32">
            <v>2.52</v>
          </cell>
        </row>
        <row r="33">
          <cell r="A33" t="str">
            <v xml:space="preserve">375.00 00430000     </v>
          </cell>
          <cell r="B33">
            <v>54027</v>
          </cell>
          <cell r="C33">
            <v>55</v>
          </cell>
          <cell r="D33" t="str">
            <v xml:space="preserve">R1.5 </v>
          </cell>
          <cell r="E33">
            <v>0</v>
          </cell>
          <cell r="F33">
            <v>13508.25</v>
          </cell>
          <cell r="G33">
            <v>4216</v>
          </cell>
          <cell r="H33">
            <v>9293</v>
          </cell>
          <cell r="I33">
            <v>280</v>
          </cell>
          <cell r="J33">
            <v>2.0699999999999998</v>
          </cell>
          <cell r="K33">
            <v>33.200000000000003</v>
          </cell>
          <cell r="L33" t="str">
            <v xml:space="preserve">      </v>
          </cell>
          <cell r="M33" t="str">
            <v xml:space="preserve">     </v>
          </cell>
          <cell r="N33">
            <v>0</v>
          </cell>
          <cell r="O33">
            <v>31.2</v>
          </cell>
          <cell r="P33">
            <v>16</v>
          </cell>
          <cell r="Q33">
            <v>3305</v>
          </cell>
          <cell r="R33">
            <v>314</v>
          </cell>
          <cell r="S33">
            <v>2.3199999999999998</v>
          </cell>
        </row>
        <row r="34">
          <cell r="A34" t="str">
            <v xml:space="preserve">375.00 00440000     </v>
          </cell>
          <cell r="B34">
            <v>41974</v>
          </cell>
          <cell r="C34">
            <v>55</v>
          </cell>
          <cell r="D34" t="str">
            <v xml:space="preserve">R1.5 </v>
          </cell>
          <cell r="E34">
            <v>0</v>
          </cell>
          <cell r="F34">
            <v>8523.89</v>
          </cell>
          <cell r="G34">
            <v>6659</v>
          </cell>
          <cell r="H34">
            <v>1865</v>
          </cell>
          <cell r="I34">
            <v>262</v>
          </cell>
          <cell r="J34">
            <v>3.07</v>
          </cell>
          <cell r="K34">
            <v>7.1</v>
          </cell>
          <cell r="L34" t="str">
            <v xml:space="preserve">      </v>
          </cell>
          <cell r="M34" t="str">
            <v xml:space="preserve">     </v>
          </cell>
          <cell r="N34">
            <v>0</v>
          </cell>
          <cell r="O34">
            <v>78.099999999999994</v>
          </cell>
          <cell r="P34">
            <v>18.899999999999999</v>
          </cell>
          <cell r="Q34">
            <v>5220</v>
          </cell>
          <cell r="R34">
            <v>467</v>
          </cell>
          <cell r="S34">
            <v>5.48</v>
          </cell>
        </row>
        <row r="35">
          <cell r="A35" t="str">
            <v xml:space="preserve">375.00 00450000     </v>
          </cell>
          <cell r="B35">
            <v>43435</v>
          </cell>
          <cell r="C35">
            <v>55</v>
          </cell>
          <cell r="D35" t="str">
            <v xml:space="preserve">R1.5 </v>
          </cell>
          <cell r="E35">
            <v>0</v>
          </cell>
          <cell r="F35">
            <v>9864.89</v>
          </cell>
          <cell r="G35">
            <v>9291</v>
          </cell>
          <cell r="H35">
            <v>574</v>
          </cell>
          <cell r="I35">
            <v>55</v>
          </cell>
          <cell r="J35">
            <v>0.56000000000000005</v>
          </cell>
          <cell r="K35">
            <v>10.4</v>
          </cell>
          <cell r="L35" t="str">
            <v xml:space="preserve">      </v>
          </cell>
          <cell r="M35" t="str">
            <v xml:space="preserve">     </v>
          </cell>
          <cell r="N35">
            <v>0</v>
          </cell>
          <cell r="O35">
            <v>94.2</v>
          </cell>
          <cell r="P35">
            <v>34.299999999999997</v>
          </cell>
          <cell r="Q35">
            <v>7283</v>
          </cell>
          <cell r="R35">
            <v>248</v>
          </cell>
          <cell r="S35">
            <v>2.5099999999999998</v>
          </cell>
        </row>
        <row r="36">
          <cell r="A36" t="str">
            <v xml:space="preserve">375.00 00460000     </v>
          </cell>
          <cell r="B36">
            <v>42339</v>
          </cell>
          <cell r="C36">
            <v>55</v>
          </cell>
          <cell r="D36" t="str">
            <v xml:space="preserve">R1.5 </v>
          </cell>
          <cell r="E36">
            <v>0</v>
          </cell>
          <cell r="F36">
            <v>9413.2900000000009</v>
          </cell>
          <cell r="G36">
            <v>8119</v>
          </cell>
          <cell r="H36">
            <v>1294</v>
          </cell>
          <cell r="I36">
            <v>160</v>
          </cell>
          <cell r="J36">
            <v>1.7</v>
          </cell>
          <cell r="K36">
            <v>8.1</v>
          </cell>
          <cell r="L36" t="str">
            <v xml:space="preserve">      </v>
          </cell>
          <cell r="M36" t="str">
            <v xml:space="preserve">     </v>
          </cell>
          <cell r="N36">
            <v>0</v>
          </cell>
          <cell r="O36">
            <v>86.3</v>
          </cell>
          <cell r="P36">
            <v>27.1</v>
          </cell>
          <cell r="Q36">
            <v>6364</v>
          </cell>
          <cell r="R36">
            <v>383</v>
          </cell>
          <cell r="S36">
            <v>4.07</v>
          </cell>
        </row>
        <row r="37">
          <cell r="A37" t="str">
            <v xml:space="preserve">375.00 00470000     </v>
          </cell>
          <cell r="B37">
            <v>54027</v>
          </cell>
          <cell r="C37">
            <v>55</v>
          </cell>
          <cell r="D37" t="str">
            <v xml:space="preserve">R1.5 </v>
          </cell>
          <cell r="E37">
            <v>0</v>
          </cell>
          <cell r="F37">
            <v>5749.58</v>
          </cell>
          <cell r="G37">
            <v>2289</v>
          </cell>
          <cell r="H37">
            <v>3461</v>
          </cell>
          <cell r="I37">
            <v>108</v>
          </cell>
          <cell r="J37">
            <v>1.88</v>
          </cell>
          <cell r="K37">
            <v>32</v>
          </cell>
          <cell r="L37" t="str">
            <v xml:space="preserve">      </v>
          </cell>
          <cell r="M37" t="str">
            <v xml:space="preserve">     </v>
          </cell>
          <cell r="N37">
            <v>0</v>
          </cell>
          <cell r="O37">
            <v>39.799999999999997</v>
          </cell>
          <cell r="P37">
            <v>21.1</v>
          </cell>
          <cell r="Q37">
            <v>1794</v>
          </cell>
          <cell r="R37">
            <v>128</v>
          </cell>
          <cell r="S37">
            <v>2.23</v>
          </cell>
        </row>
        <row r="38">
          <cell r="A38" t="str">
            <v xml:space="preserve">375.00 00480000     </v>
          </cell>
          <cell r="B38">
            <v>39783</v>
          </cell>
          <cell r="C38">
            <v>55</v>
          </cell>
          <cell r="D38" t="str">
            <v xml:space="preserve">R1.5 </v>
          </cell>
          <cell r="E38">
            <v>0</v>
          </cell>
          <cell r="F38">
            <v>6790.07</v>
          </cell>
          <cell r="G38">
            <v>8195</v>
          </cell>
          <cell r="H38">
            <v>-1405</v>
          </cell>
          <cell r="I38">
            <v>0</v>
          </cell>
          <cell r="J38">
            <v>0</v>
          </cell>
          <cell r="K38">
            <v>0</v>
          </cell>
          <cell r="L38" t="str">
            <v xml:space="preserve">      </v>
          </cell>
          <cell r="M38" t="str">
            <v xml:space="preserve">     </v>
          </cell>
          <cell r="N38">
            <v>0</v>
          </cell>
          <cell r="O38">
            <v>120.7</v>
          </cell>
          <cell r="P38">
            <v>37.200000000000003</v>
          </cell>
          <cell r="Q38">
            <v>6424</v>
          </cell>
          <cell r="R38">
            <v>294</v>
          </cell>
          <cell r="S38">
            <v>4.33</v>
          </cell>
        </row>
        <row r="39">
          <cell r="A39" t="str">
            <v xml:space="preserve">375.00 00490000     </v>
          </cell>
          <cell r="B39">
            <v>40148</v>
          </cell>
          <cell r="C39">
            <v>55</v>
          </cell>
          <cell r="D39" t="str">
            <v xml:space="preserve">R1.5 </v>
          </cell>
          <cell r="E39">
            <v>0</v>
          </cell>
          <cell r="F39">
            <v>2256.4499999999998</v>
          </cell>
          <cell r="G39">
            <v>2716</v>
          </cell>
          <cell r="H39">
            <v>-460</v>
          </cell>
          <cell r="I39">
            <v>0</v>
          </cell>
          <cell r="J39">
            <v>0</v>
          </cell>
          <cell r="K39">
            <v>0</v>
          </cell>
          <cell r="L39" t="str">
            <v xml:space="preserve">      </v>
          </cell>
          <cell r="M39" t="str">
            <v xml:space="preserve">     </v>
          </cell>
          <cell r="N39">
            <v>0</v>
          </cell>
          <cell r="O39">
            <v>120.4</v>
          </cell>
          <cell r="P39">
            <v>42.3</v>
          </cell>
          <cell r="Q39">
            <v>2129</v>
          </cell>
          <cell r="R39">
            <v>58</v>
          </cell>
          <cell r="S39">
            <v>2.57</v>
          </cell>
        </row>
        <row r="40">
          <cell r="A40" t="str">
            <v xml:space="preserve">375.00 00500000     </v>
          </cell>
          <cell r="B40">
            <v>40513</v>
          </cell>
          <cell r="C40">
            <v>55</v>
          </cell>
          <cell r="D40" t="str">
            <v xml:space="preserve">R1.5 </v>
          </cell>
          <cell r="E40">
            <v>0</v>
          </cell>
          <cell r="F40">
            <v>3654.36</v>
          </cell>
          <cell r="G40">
            <v>3936</v>
          </cell>
          <cell r="H40">
            <v>-281</v>
          </cell>
          <cell r="I40">
            <v>0</v>
          </cell>
          <cell r="J40">
            <v>0</v>
          </cell>
          <cell r="K40">
            <v>0</v>
          </cell>
          <cell r="L40" t="str">
            <v xml:space="preserve">      </v>
          </cell>
          <cell r="M40" t="str">
            <v xml:space="preserve">     </v>
          </cell>
          <cell r="N40">
            <v>0</v>
          </cell>
          <cell r="O40">
            <v>107.7</v>
          </cell>
          <cell r="P40">
            <v>30.5</v>
          </cell>
          <cell r="Q40">
            <v>3085</v>
          </cell>
          <cell r="R40">
            <v>177</v>
          </cell>
          <cell r="S40">
            <v>4.84</v>
          </cell>
        </row>
        <row r="41">
          <cell r="A41" t="str">
            <v xml:space="preserve">375.00 00510000     </v>
          </cell>
          <cell r="B41">
            <v>40513</v>
          </cell>
          <cell r="C41">
            <v>55</v>
          </cell>
          <cell r="D41" t="str">
            <v xml:space="preserve">R1.5 </v>
          </cell>
          <cell r="E41">
            <v>0</v>
          </cell>
          <cell r="F41">
            <v>6058.79</v>
          </cell>
          <cell r="G41">
            <v>5898</v>
          </cell>
          <cell r="H41">
            <v>161</v>
          </cell>
          <cell r="I41">
            <v>50</v>
          </cell>
          <cell r="J41">
            <v>0.83</v>
          </cell>
          <cell r="K41">
            <v>3.2</v>
          </cell>
          <cell r="L41" t="str">
            <v xml:space="preserve">      </v>
          </cell>
          <cell r="M41" t="str">
            <v xml:space="preserve">     </v>
          </cell>
          <cell r="N41">
            <v>0</v>
          </cell>
          <cell r="O41">
            <v>97.3</v>
          </cell>
          <cell r="P41">
            <v>19.8</v>
          </cell>
          <cell r="Q41">
            <v>4623</v>
          </cell>
          <cell r="R41">
            <v>446</v>
          </cell>
          <cell r="S41">
            <v>7.36</v>
          </cell>
        </row>
        <row r="42">
          <cell r="A42" t="str">
            <v xml:space="preserve">375.00 00560000     </v>
          </cell>
          <cell r="B42">
            <v>46722</v>
          </cell>
          <cell r="C42">
            <v>55</v>
          </cell>
          <cell r="D42" t="str">
            <v xml:space="preserve">R1.5 </v>
          </cell>
          <cell r="E42">
            <v>0</v>
          </cell>
          <cell r="F42">
            <v>15230.57</v>
          </cell>
          <cell r="G42">
            <v>9929</v>
          </cell>
          <cell r="H42">
            <v>5302</v>
          </cell>
          <cell r="I42">
            <v>289</v>
          </cell>
          <cell r="J42">
            <v>1.9</v>
          </cell>
          <cell r="K42">
            <v>18.3</v>
          </cell>
          <cell r="L42" t="str">
            <v xml:space="preserve">      </v>
          </cell>
          <cell r="M42" t="str">
            <v xml:space="preserve">     </v>
          </cell>
          <cell r="N42">
            <v>0</v>
          </cell>
          <cell r="O42">
            <v>65.2</v>
          </cell>
          <cell r="P42">
            <v>25.6</v>
          </cell>
          <cell r="Q42">
            <v>7783</v>
          </cell>
          <cell r="R42">
            <v>411</v>
          </cell>
          <cell r="S42">
            <v>2.7</v>
          </cell>
        </row>
        <row r="43">
          <cell r="A43" t="str">
            <v xml:space="preserve">375.00 00590000     </v>
          </cell>
          <cell r="B43">
            <v>41974</v>
          </cell>
          <cell r="C43">
            <v>55</v>
          </cell>
          <cell r="D43" t="str">
            <v xml:space="preserve">R1.5 </v>
          </cell>
          <cell r="E43">
            <v>0</v>
          </cell>
          <cell r="F43">
            <v>11120.5</v>
          </cell>
          <cell r="G43">
            <v>9035</v>
          </cell>
          <cell r="H43">
            <v>2086</v>
          </cell>
          <cell r="I43">
            <v>292</v>
          </cell>
          <cell r="J43">
            <v>2.63</v>
          </cell>
          <cell r="K43">
            <v>7.1</v>
          </cell>
          <cell r="L43" t="str">
            <v xml:space="preserve">      </v>
          </cell>
          <cell r="M43" t="str">
            <v xml:space="preserve">     </v>
          </cell>
          <cell r="N43">
            <v>0</v>
          </cell>
          <cell r="O43">
            <v>81.2</v>
          </cell>
          <cell r="P43">
            <v>22.3</v>
          </cell>
          <cell r="Q43">
            <v>7082</v>
          </cell>
          <cell r="R43">
            <v>571</v>
          </cell>
          <cell r="S43">
            <v>5.13</v>
          </cell>
        </row>
        <row r="44">
          <cell r="A44" t="str">
            <v xml:space="preserve">375.00 00620000     </v>
          </cell>
          <cell r="B44">
            <v>41974</v>
          </cell>
          <cell r="C44">
            <v>55</v>
          </cell>
          <cell r="D44" t="str">
            <v xml:space="preserve">R1.5 </v>
          </cell>
          <cell r="E44">
            <v>0</v>
          </cell>
          <cell r="F44">
            <v>4163.1000000000004</v>
          </cell>
          <cell r="G44">
            <v>1994</v>
          </cell>
          <cell r="H44">
            <v>2169</v>
          </cell>
          <cell r="I44">
            <v>303</v>
          </cell>
          <cell r="J44">
            <v>7.28</v>
          </cell>
          <cell r="K44">
            <v>7.2</v>
          </cell>
          <cell r="L44" t="str">
            <v xml:space="preserve">      </v>
          </cell>
          <cell r="M44" t="str">
            <v xml:space="preserve">     </v>
          </cell>
          <cell r="N44">
            <v>0</v>
          </cell>
          <cell r="O44">
            <v>47.9</v>
          </cell>
          <cell r="P44">
            <v>17.600000000000001</v>
          </cell>
          <cell r="Q44">
            <v>1709</v>
          </cell>
          <cell r="R44">
            <v>345</v>
          </cell>
          <cell r="S44">
            <v>8.2899999999999991</v>
          </cell>
        </row>
        <row r="45">
          <cell r="A45" t="str">
            <v xml:space="preserve">375.00 00640000     </v>
          </cell>
          <cell r="B45">
            <v>54027</v>
          </cell>
          <cell r="C45">
            <v>55</v>
          </cell>
          <cell r="D45" t="str">
            <v xml:space="preserve">R1.5 </v>
          </cell>
          <cell r="E45">
            <v>0</v>
          </cell>
          <cell r="F45">
            <v>9079.5499999999993</v>
          </cell>
          <cell r="G45">
            <v>2842</v>
          </cell>
          <cell r="H45">
            <v>6238</v>
          </cell>
          <cell r="I45">
            <v>185</v>
          </cell>
          <cell r="J45">
            <v>2.04</v>
          </cell>
          <cell r="K45">
            <v>33.700000000000003</v>
          </cell>
          <cell r="L45" t="str">
            <v xml:space="preserve">      </v>
          </cell>
          <cell r="M45" t="str">
            <v xml:space="preserve">     </v>
          </cell>
          <cell r="N45">
            <v>0</v>
          </cell>
          <cell r="O45">
            <v>31.3</v>
          </cell>
          <cell r="P45">
            <v>16.399999999999999</v>
          </cell>
          <cell r="Q45">
            <v>2228</v>
          </cell>
          <cell r="R45">
            <v>212</v>
          </cell>
          <cell r="S45">
            <v>2.33</v>
          </cell>
        </row>
        <row r="46">
          <cell r="A46" t="str">
            <v xml:space="preserve">375.00 00660000     </v>
          </cell>
          <cell r="B46">
            <v>42339</v>
          </cell>
          <cell r="C46">
            <v>55</v>
          </cell>
          <cell r="D46" t="str">
            <v xml:space="preserve">R1.5 </v>
          </cell>
          <cell r="E46">
            <v>0</v>
          </cell>
          <cell r="F46">
            <v>10799.19</v>
          </cell>
          <cell r="G46">
            <v>10000</v>
          </cell>
          <cell r="H46">
            <v>799</v>
          </cell>
          <cell r="I46">
            <v>99</v>
          </cell>
          <cell r="J46">
            <v>0.92</v>
          </cell>
          <cell r="K46">
            <v>8.1</v>
          </cell>
          <cell r="L46" t="str">
            <v xml:space="preserve">      </v>
          </cell>
          <cell r="M46" t="str">
            <v xml:space="preserve">     </v>
          </cell>
          <cell r="N46">
            <v>0</v>
          </cell>
          <cell r="O46">
            <v>92.6</v>
          </cell>
          <cell r="P46">
            <v>30.2</v>
          </cell>
          <cell r="Q46">
            <v>7839</v>
          </cell>
          <cell r="R46">
            <v>374</v>
          </cell>
          <cell r="S46">
            <v>3.46</v>
          </cell>
        </row>
        <row r="47">
          <cell r="A47" t="str">
            <v xml:space="preserve">375.00 00670000     </v>
          </cell>
          <cell r="B47">
            <v>42339</v>
          </cell>
          <cell r="C47">
            <v>55</v>
          </cell>
          <cell r="D47" t="str">
            <v xml:space="preserve">R1.5 </v>
          </cell>
          <cell r="E47">
            <v>0</v>
          </cell>
          <cell r="F47">
            <v>6989.08</v>
          </cell>
          <cell r="G47">
            <v>6862</v>
          </cell>
          <cell r="H47">
            <v>127</v>
          </cell>
          <cell r="I47">
            <v>16</v>
          </cell>
          <cell r="J47">
            <v>0.23</v>
          </cell>
          <cell r="K47">
            <v>7.9</v>
          </cell>
          <cell r="L47" t="str">
            <v xml:space="preserve">      </v>
          </cell>
          <cell r="M47" t="str">
            <v xml:space="preserve">     </v>
          </cell>
          <cell r="N47">
            <v>0</v>
          </cell>
          <cell r="O47">
            <v>98.2</v>
          </cell>
          <cell r="P47">
            <v>34.1</v>
          </cell>
          <cell r="Q47">
            <v>5379</v>
          </cell>
          <cell r="R47">
            <v>205</v>
          </cell>
          <cell r="S47">
            <v>2.93</v>
          </cell>
        </row>
        <row r="48">
          <cell r="A48" t="str">
            <v xml:space="preserve">375.00 00680000     </v>
          </cell>
          <cell r="B48">
            <v>40513</v>
          </cell>
          <cell r="C48">
            <v>55</v>
          </cell>
          <cell r="D48" t="str">
            <v xml:space="preserve">R1.5 </v>
          </cell>
          <cell r="E48">
            <v>0</v>
          </cell>
          <cell r="F48">
            <v>6531.13</v>
          </cell>
          <cell r="G48">
            <v>6241</v>
          </cell>
          <cell r="H48">
            <v>290</v>
          </cell>
          <cell r="I48">
            <v>90</v>
          </cell>
          <cell r="J48">
            <v>1.38</v>
          </cell>
          <cell r="K48">
            <v>3.2</v>
          </cell>
          <cell r="L48" t="str">
            <v xml:space="preserve">      </v>
          </cell>
          <cell r="M48" t="str">
            <v xml:space="preserve">     </v>
          </cell>
          <cell r="N48">
            <v>0</v>
          </cell>
          <cell r="O48">
            <v>95.6</v>
          </cell>
          <cell r="P48">
            <v>18.399999999999999</v>
          </cell>
          <cell r="Q48">
            <v>4892</v>
          </cell>
          <cell r="R48">
            <v>509</v>
          </cell>
          <cell r="S48">
            <v>7.79</v>
          </cell>
        </row>
        <row r="49">
          <cell r="A49" t="str">
            <v xml:space="preserve">375.00 00720000     </v>
          </cell>
          <cell r="B49">
            <v>53297</v>
          </cell>
          <cell r="C49">
            <v>55</v>
          </cell>
          <cell r="D49" t="str">
            <v xml:space="preserve">R1.5 </v>
          </cell>
          <cell r="E49">
            <v>0</v>
          </cell>
          <cell r="F49">
            <v>2279.36</v>
          </cell>
          <cell r="G49">
            <v>477</v>
          </cell>
          <cell r="H49">
            <v>1802</v>
          </cell>
          <cell r="I49">
            <v>54</v>
          </cell>
          <cell r="J49">
            <v>2.37</v>
          </cell>
          <cell r="K49">
            <v>33.4</v>
          </cell>
          <cell r="L49" t="str">
            <v xml:space="preserve">      </v>
          </cell>
          <cell r="M49" t="str">
            <v xml:space="preserve">     </v>
          </cell>
          <cell r="N49">
            <v>0</v>
          </cell>
          <cell r="O49">
            <v>20.9</v>
          </cell>
          <cell r="P49">
            <v>7.6</v>
          </cell>
          <cell r="Q49">
            <v>374</v>
          </cell>
          <cell r="R49">
            <v>57</v>
          </cell>
          <cell r="S49">
            <v>2.5</v>
          </cell>
        </row>
        <row r="50">
          <cell r="A50" t="str">
            <v xml:space="preserve">375.00 00740000     </v>
          </cell>
          <cell r="B50">
            <v>43435</v>
          </cell>
          <cell r="C50">
            <v>55</v>
          </cell>
          <cell r="D50" t="str">
            <v xml:space="preserve">R1.5 </v>
          </cell>
          <cell r="E50">
            <v>0</v>
          </cell>
          <cell r="F50">
            <v>31894.23</v>
          </cell>
          <cell r="G50">
            <v>26914</v>
          </cell>
          <cell r="H50">
            <v>4979</v>
          </cell>
          <cell r="I50">
            <v>461</v>
          </cell>
          <cell r="J50">
            <v>1.45</v>
          </cell>
          <cell r="K50">
            <v>10.8</v>
          </cell>
          <cell r="L50" t="str">
            <v xml:space="preserve">      </v>
          </cell>
          <cell r="M50" t="str">
            <v xml:space="preserve">     </v>
          </cell>
          <cell r="N50">
            <v>0</v>
          </cell>
          <cell r="O50">
            <v>84.4</v>
          </cell>
          <cell r="P50">
            <v>27.4</v>
          </cell>
          <cell r="Q50">
            <v>21097</v>
          </cell>
          <cell r="R50">
            <v>1017</v>
          </cell>
          <cell r="S50">
            <v>3.19</v>
          </cell>
        </row>
        <row r="51">
          <cell r="A51" t="str">
            <v xml:space="preserve">375.00 00760000     </v>
          </cell>
          <cell r="B51">
            <v>40513</v>
          </cell>
          <cell r="C51">
            <v>55</v>
          </cell>
          <cell r="D51" t="str">
            <v xml:space="preserve">R1.5 </v>
          </cell>
          <cell r="E51">
            <v>0</v>
          </cell>
          <cell r="F51">
            <v>2372.27</v>
          </cell>
          <cell r="G51">
            <v>2786</v>
          </cell>
          <cell r="H51">
            <v>-414</v>
          </cell>
          <cell r="I51">
            <v>0</v>
          </cell>
          <cell r="J51">
            <v>0</v>
          </cell>
          <cell r="K51">
            <v>0</v>
          </cell>
          <cell r="L51" t="str">
            <v xml:space="preserve">      </v>
          </cell>
          <cell r="M51" t="str">
            <v xml:space="preserve">     </v>
          </cell>
          <cell r="N51">
            <v>0</v>
          </cell>
          <cell r="O51">
            <v>117.4</v>
          </cell>
          <cell r="P51">
            <v>42.3</v>
          </cell>
          <cell r="Q51">
            <v>2184</v>
          </cell>
          <cell r="R51">
            <v>60</v>
          </cell>
          <cell r="S51">
            <v>2.5299999999999998</v>
          </cell>
        </row>
        <row r="52">
          <cell r="A52" t="str">
            <v xml:space="preserve">375.00 00810000     </v>
          </cell>
          <cell r="B52">
            <v>41244</v>
          </cell>
          <cell r="C52">
            <v>55</v>
          </cell>
          <cell r="D52" t="str">
            <v xml:space="preserve">R1.5 </v>
          </cell>
          <cell r="E52">
            <v>0</v>
          </cell>
          <cell r="F52">
            <v>12635.08</v>
          </cell>
          <cell r="G52">
            <v>10131</v>
          </cell>
          <cell r="H52">
            <v>2504</v>
          </cell>
          <cell r="I52">
            <v>482</v>
          </cell>
          <cell r="J52">
            <v>3.81</v>
          </cell>
          <cell r="K52">
            <v>5.2</v>
          </cell>
          <cell r="L52" t="str">
            <v xml:space="preserve">      </v>
          </cell>
          <cell r="M52" t="str">
            <v xml:space="preserve">     </v>
          </cell>
          <cell r="N52">
            <v>0</v>
          </cell>
          <cell r="O52">
            <v>80.2</v>
          </cell>
          <cell r="P52">
            <v>17.3</v>
          </cell>
          <cell r="Q52">
            <v>7941</v>
          </cell>
          <cell r="R52">
            <v>908</v>
          </cell>
          <cell r="S52">
            <v>7.19</v>
          </cell>
        </row>
        <row r="53">
          <cell r="A53" t="str">
            <v xml:space="preserve">375.00 00830000     </v>
          </cell>
          <cell r="B53">
            <v>41244</v>
          </cell>
          <cell r="C53">
            <v>55</v>
          </cell>
          <cell r="D53" t="str">
            <v xml:space="preserve">R1.5 </v>
          </cell>
          <cell r="E53">
            <v>0</v>
          </cell>
          <cell r="F53">
            <v>10750.08</v>
          </cell>
          <cell r="G53">
            <v>8891</v>
          </cell>
          <cell r="H53">
            <v>1859</v>
          </cell>
          <cell r="I53">
            <v>358</v>
          </cell>
          <cell r="J53">
            <v>3.33</v>
          </cell>
          <cell r="K53">
            <v>5.2</v>
          </cell>
          <cell r="L53" t="str">
            <v xml:space="preserve">      </v>
          </cell>
          <cell r="M53" t="str">
            <v xml:space="preserve">     </v>
          </cell>
          <cell r="N53">
            <v>0</v>
          </cell>
          <cell r="O53">
            <v>82.7</v>
          </cell>
          <cell r="P53">
            <v>19.2</v>
          </cell>
          <cell r="Q53">
            <v>6969</v>
          </cell>
          <cell r="R53">
            <v>732</v>
          </cell>
          <cell r="S53">
            <v>6.81</v>
          </cell>
        </row>
        <row r="54">
          <cell r="A54" t="str">
            <v xml:space="preserve">375.00 00840000     </v>
          </cell>
          <cell r="B54">
            <v>43435</v>
          </cell>
          <cell r="C54">
            <v>55</v>
          </cell>
          <cell r="D54" t="str">
            <v xml:space="preserve">R1.5 </v>
          </cell>
          <cell r="E54">
            <v>0</v>
          </cell>
          <cell r="F54">
            <v>11282.14</v>
          </cell>
          <cell r="G54">
            <v>10064</v>
          </cell>
          <cell r="H54">
            <v>1218</v>
          </cell>
          <cell r="I54">
            <v>114</v>
          </cell>
          <cell r="J54">
            <v>1.01</v>
          </cell>
          <cell r="K54">
            <v>10.7</v>
          </cell>
          <cell r="L54" t="str">
            <v xml:space="preserve">      </v>
          </cell>
          <cell r="M54" t="str">
            <v xml:space="preserve">     </v>
          </cell>
          <cell r="N54">
            <v>0</v>
          </cell>
          <cell r="O54">
            <v>89.2</v>
          </cell>
          <cell r="P54">
            <v>30.5</v>
          </cell>
          <cell r="Q54">
            <v>7889</v>
          </cell>
          <cell r="R54">
            <v>322</v>
          </cell>
          <cell r="S54">
            <v>2.85</v>
          </cell>
        </row>
        <row r="55">
          <cell r="A55" t="str">
            <v xml:space="preserve">375.00 00850000     </v>
          </cell>
          <cell r="B55">
            <v>46722</v>
          </cell>
          <cell r="C55">
            <v>55</v>
          </cell>
          <cell r="D55" t="str">
            <v xml:space="preserve">R1.5 </v>
          </cell>
          <cell r="E55">
            <v>0</v>
          </cell>
          <cell r="F55">
            <v>28199.75</v>
          </cell>
          <cell r="G55">
            <v>18194</v>
          </cell>
          <cell r="H55">
            <v>10005</v>
          </cell>
          <cell r="I55">
            <v>545</v>
          </cell>
          <cell r="J55">
            <v>1.93</v>
          </cell>
          <cell r="K55">
            <v>18.399999999999999</v>
          </cell>
          <cell r="L55" t="str">
            <v xml:space="preserve">      </v>
          </cell>
          <cell r="M55" t="str">
            <v xml:space="preserve">     </v>
          </cell>
          <cell r="N55">
            <v>0</v>
          </cell>
          <cell r="O55">
            <v>64.5</v>
          </cell>
          <cell r="P55">
            <v>24.9</v>
          </cell>
          <cell r="Q55">
            <v>14262</v>
          </cell>
          <cell r="R55">
            <v>766</v>
          </cell>
          <cell r="S55">
            <v>2.72</v>
          </cell>
        </row>
        <row r="56">
          <cell r="A56" t="str">
            <v xml:space="preserve">375.00 00860000     </v>
          </cell>
          <cell r="B56">
            <v>41974</v>
          </cell>
          <cell r="C56">
            <v>55</v>
          </cell>
          <cell r="D56" t="str">
            <v xml:space="preserve">R1.5 </v>
          </cell>
          <cell r="E56">
            <v>0</v>
          </cell>
          <cell r="F56">
            <v>6344.66</v>
          </cell>
          <cell r="G56">
            <v>6700</v>
          </cell>
          <cell r="H56">
            <v>-355</v>
          </cell>
          <cell r="I56">
            <v>0</v>
          </cell>
          <cell r="J56">
            <v>0</v>
          </cell>
          <cell r="K56">
            <v>0</v>
          </cell>
          <cell r="L56" t="str">
            <v xml:space="preserve">      </v>
          </cell>
          <cell r="M56" t="str">
            <v xml:space="preserve">     </v>
          </cell>
          <cell r="N56">
            <v>0</v>
          </cell>
          <cell r="O56">
            <v>105.6</v>
          </cell>
          <cell r="P56">
            <v>38.299999999999997</v>
          </cell>
          <cell r="Q56">
            <v>5252</v>
          </cell>
          <cell r="R56">
            <v>159</v>
          </cell>
          <cell r="S56">
            <v>2.5099999999999998</v>
          </cell>
        </row>
        <row r="57">
          <cell r="A57" t="str">
            <v xml:space="preserve">375.00 00870000     </v>
          </cell>
          <cell r="B57">
            <v>40513</v>
          </cell>
          <cell r="C57">
            <v>55</v>
          </cell>
          <cell r="D57" t="str">
            <v xml:space="preserve">R1.5 </v>
          </cell>
          <cell r="E57">
            <v>0</v>
          </cell>
          <cell r="F57">
            <v>7265.99</v>
          </cell>
          <cell r="G57">
            <v>7241</v>
          </cell>
          <cell r="H57">
            <v>25</v>
          </cell>
          <cell r="I57">
            <v>8</v>
          </cell>
          <cell r="J57">
            <v>0.11</v>
          </cell>
          <cell r="K57">
            <v>3.1</v>
          </cell>
          <cell r="L57" t="str">
            <v xml:space="preserve">      </v>
          </cell>
          <cell r="M57" t="str">
            <v xml:space="preserve">     </v>
          </cell>
          <cell r="N57">
            <v>0</v>
          </cell>
          <cell r="O57">
            <v>99.7</v>
          </cell>
          <cell r="P57">
            <v>22.7</v>
          </cell>
          <cell r="Q57">
            <v>5676</v>
          </cell>
          <cell r="R57">
            <v>494</v>
          </cell>
          <cell r="S57">
            <v>6.8</v>
          </cell>
        </row>
        <row r="58">
          <cell r="A58" t="str">
            <v xml:space="preserve">375.00 00880000     </v>
          </cell>
          <cell r="B58">
            <v>54027</v>
          </cell>
          <cell r="C58">
            <v>55</v>
          </cell>
          <cell r="D58" t="str">
            <v xml:space="preserve">R1.5 </v>
          </cell>
          <cell r="E58">
            <v>0</v>
          </cell>
          <cell r="F58">
            <v>8739.5</v>
          </cell>
          <cell r="G58">
            <v>1708</v>
          </cell>
          <cell r="H58">
            <v>7032</v>
          </cell>
          <cell r="I58">
            <v>203</v>
          </cell>
          <cell r="J58">
            <v>2.3199999999999998</v>
          </cell>
          <cell r="K58">
            <v>34.6</v>
          </cell>
          <cell r="L58" t="str">
            <v xml:space="preserve">      </v>
          </cell>
          <cell r="M58" t="str">
            <v xml:space="preserve">     </v>
          </cell>
          <cell r="N58">
            <v>0</v>
          </cell>
          <cell r="O58">
            <v>19.5</v>
          </cell>
          <cell r="P58">
            <v>8.5</v>
          </cell>
          <cell r="Q58">
            <v>1339</v>
          </cell>
          <cell r="R58">
            <v>215</v>
          </cell>
          <cell r="S58">
            <v>2.46</v>
          </cell>
        </row>
        <row r="59">
          <cell r="A59" t="str">
            <v xml:space="preserve">375.00 00890000     </v>
          </cell>
          <cell r="B59">
            <v>42339</v>
          </cell>
          <cell r="C59">
            <v>55</v>
          </cell>
          <cell r="D59" t="str">
            <v xml:space="preserve">R1.5 </v>
          </cell>
          <cell r="E59">
            <v>0</v>
          </cell>
          <cell r="F59">
            <v>1580.5</v>
          </cell>
          <cell r="G59">
            <v>1692</v>
          </cell>
          <cell r="H59">
            <v>-112</v>
          </cell>
          <cell r="I59">
            <v>0</v>
          </cell>
          <cell r="J59">
            <v>0</v>
          </cell>
          <cell r="K59">
            <v>0</v>
          </cell>
          <cell r="L59" t="str">
            <v xml:space="preserve">      </v>
          </cell>
          <cell r="M59" t="str">
            <v xml:space="preserve">     </v>
          </cell>
          <cell r="N59">
            <v>0</v>
          </cell>
          <cell r="O59">
            <v>107.1</v>
          </cell>
          <cell r="P59">
            <v>48.3</v>
          </cell>
          <cell r="Q59">
            <v>1326</v>
          </cell>
          <cell r="R59">
            <v>34</v>
          </cell>
          <cell r="S59">
            <v>2.15</v>
          </cell>
        </row>
        <row r="60">
          <cell r="A60" t="str">
            <v xml:space="preserve">375.00 00900000     </v>
          </cell>
          <cell r="B60">
            <v>46357</v>
          </cell>
          <cell r="C60">
            <v>55</v>
          </cell>
          <cell r="D60" t="str">
            <v xml:space="preserve">R1.5 </v>
          </cell>
          <cell r="E60">
            <v>0</v>
          </cell>
          <cell r="F60">
            <v>46634.21</v>
          </cell>
          <cell r="G60">
            <v>31749</v>
          </cell>
          <cell r="H60">
            <v>14885</v>
          </cell>
          <cell r="I60">
            <v>849</v>
          </cell>
          <cell r="J60">
            <v>1.82</v>
          </cell>
          <cell r="K60">
            <v>17.5</v>
          </cell>
          <cell r="L60" t="str">
            <v xml:space="preserve">      </v>
          </cell>
          <cell r="M60" t="str">
            <v xml:space="preserve">     </v>
          </cell>
          <cell r="N60">
            <v>0</v>
          </cell>
          <cell r="O60">
            <v>68.099999999999994</v>
          </cell>
          <cell r="P60">
            <v>24.2</v>
          </cell>
          <cell r="Q60">
            <v>24887</v>
          </cell>
          <cell r="R60">
            <v>1244</v>
          </cell>
          <cell r="S60">
            <v>2.67</v>
          </cell>
        </row>
        <row r="61">
          <cell r="A61" t="str">
            <v xml:space="preserve">375.00 00910000     </v>
          </cell>
          <cell r="B61">
            <v>46357</v>
          </cell>
          <cell r="C61">
            <v>55</v>
          </cell>
          <cell r="D61" t="str">
            <v xml:space="preserve">R1.5 </v>
          </cell>
          <cell r="E61">
            <v>0</v>
          </cell>
          <cell r="F61">
            <v>10579.89</v>
          </cell>
          <cell r="G61">
            <v>7625</v>
          </cell>
          <cell r="H61">
            <v>2955</v>
          </cell>
          <cell r="I61">
            <v>171</v>
          </cell>
          <cell r="J61">
            <v>1.62</v>
          </cell>
          <cell r="K61">
            <v>17.3</v>
          </cell>
          <cell r="L61" t="str">
            <v xml:space="preserve">      </v>
          </cell>
          <cell r="M61" t="str">
            <v xml:space="preserve">     </v>
          </cell>
          <cell r="N61">
            <v>0</v>
          </cell>
          <cell r="O61">
            <v>72.099999999999994</v>
          </cell>
          <cell r="P61">
            <v>26.3</v>
          </cell>
          <cell r="Q61">
            <v>5977</v>
          </cell>
          <cell r="R61">
            <v>266</v>
          </cell>
          <cell r="S61">
            <v>2.5099999999999998</v>
          </cell>
        </row>
        <row r="62">
          <cell r="A62" t="str">
            <v xml:space="preserve">375.00 00950000     </v>
          </cell>
          <cell r="B62">
            <v>48914</v>
          </cell>
          <cell r="C62">
            <v>55</v>
          </cell>
          <cell r="D62" t="str">
            <v xml:space="preserve">R1.5 </v>
          </cell>
          <cell r="E62">
            <v>0</v>
          </cell>
          <cell r="F62">
            <v>38095.57</v>
          </cell>
          <cell r="G62">
            <v>17636</v>
          </cell>
          <cell r="H62">
            <v>20460</v>
          </cell>
          <cell r="I62">
            <v>866</v>
          </cell>
          <cell r="J62">
            <v>2.27</v>
          </cell>
          <cell r="K62">
            <v>23.6</v>
          </cell>
          <cell r="L62" t="str">
            <v xml:space="preserve">      </v>
          </cell>
          <cell r="M62" t="str">
            <v xml:space="preserve">     </v>
          </cell>
          <cell r="N62">
            <v>0</v>
          </cell>
          <cell r="O62">
            <v>46.3</v>
          </cell>
          <cell r="P62">
            <v>16.2</v>
          </cell>
          <cell r="Q62">
            <v>13824</v>
          </cell>
          <cell r="R62">
            <v>1029</v>
          </cell>
          <cell r="S62">
            <v>2.7</v>
          </cell>
        </row>
        <row r="63">
          <cell r="A63" t="str">
            <v xml:space="preserve">375.00 00960000     </v>
          </cell>
          <cell r="B63">
            <v>40513</v>
          </cell>
          <cell r="C63">
            <v>55</v>
          </cell>
          <cell r="D63" t="str">
            <v xml:space="preserve">R1.5 </v>
          </cell>
          <cell r="E63">
            <v>0</v>
          </cell>
          <cell r="F63">
            <v>2962.47</v>
          </cell>
          <cell r="G63">
            <v>3479</v>
          </cell>
          <cell r="H63">
            <v>-517</v>
          </cell>
          <cell r="I63">
            <v>0</v>
          </cell>
          <cell r="J63">
            <v>0</v>
          </cell>
          <cell r="K63">
            <v>0</v>
          </cell>
          <cell r="L63" t="str">
            <v xml:space="preserve">      </v>
          </cell>
          <cell r="M63" t="str">
            <v xml:space="preserve">     </v>
          </cell>
          <cell r="N63">
            <v>0</v>
          </cell>
          <cell r="O63">
            <v>117.4</v>
          </cell>
          <cell r="P63">
            <v>42.2</v>
          </cell>
          <cell r="Q63">
            <v>2727</v>
          </cell>
          <cell r="R63">
            <v>74</v>
          </cell>
          <cell r="S63">
            <v>2.5</v>
          </cell>
        </row>
        <row r="64">
          <cell r="A64" t="str">
            <v xml:space="preserve">375.00 01000000     </v>
          </cell>
          <cell r="B64">
            <v>52201</v>
          </cell>
          <cell r="C64">
            <v>55</v>
          </cell>
          <cell r="D64" t="str">
            <v xml:space="preserve">R1.5 </v>
          </cell>
          <cell r="E64">
            <v>0</v>
          </cell>
          <cell r="F64">
            <v>38375.660000000003</v>
          </cell>
          <cell r="G64">
            <v>10888</v>
          </cell>
          <cell r="H64">
            <v>27488</v>
          </cell>
          <cell r="I64">
            <v>889</v>
          </cell>
          <cell r="J64">
            <v>2.3199999999999998</v>
          </cell>
          <cell r="K64">
            <v>30.9</v>
          </cell>
          <cell r="L64" t="str">
            <v xml:space="preserve">      </v>
          </cell>
          <cell r="M64" t="str">
            <v xml:space="preserve">     </v>
          </cell>
          <cell r="N64">
            <v>0</v>
          </cell>
          <cell r="O64">
            <v>28.4</v>
          </cell>
          <cell r="P64">
            <v>10.199999999999999</v>
          </cell>
          <cell r="Q64">
            <v>8535</v>
          </cell>
          <cell r="R64">
            <v>963</v>
          </cell>
          <cell r="S64">
            <v>2.5099999999999998</v>
          </cell>
        </row>
        <row r="65">
          <cell r="A65" t="str">
            <v xml:space="preserve">375.00 02260000     </v>
          </cell>
          <cell r="B65">
            <v>40148</v>
          </cell>
          <cell r="C65">
            <v>55</v>
          </cell>
          <cell r="D65" t="str">
            <v xml:space="preserve">R1.5 </v>
          </cell>
          <cell r="E65">
            <v>0</v>
          </cell>
          <cell r="F65">
            <v>2575.75</v>
          </cell>
          <cell r="G65">
            <v>3103</v>
          </cell>
          <cell r="H65">
            <v>-527</v>
          </cell>
          <cell r="I65">
            <v>0</v>
          </cell>
          <cell r="J65">
            <v>0</v>
          </cell>
          <cell r="K65">
            <v>0</v>
          </cell>
          <cell r="L65" t="str">
            <v xml:space="preserve">      </v>
          </cell>
          <cell r="M65" t="str">
            <v xml:space="preserve">     </v>
          </cell>
          <cell r="N65">
            <v>0</v>
          </cell>
          <cell r="O65">
            <v>120.5</v>
          </cell>
          <cell r="P65">
            <v>42.8</v>
          </cell>
          <cell r="Q65">
            <v>2432</v>
          </cell>
          <cell r="R65">
            <v>65</v>
          </cell>
          <cell r="S65">
            <v>2.52</v>
          </cell>
        </row>
        <row r="66">
          <cell r="A66" t="str">
            <v xml:space="preserve">375.00 02270000     </v>
          </cell>
          <cell r="B66">
            <v>41974</v>
          </cell>
          <cell r="C66">
            <v>55</v>
          </cell>
          <cell r="D66" t="str">
            <v xml:space="preserve">R1.5 </v>
          </cell>
          <cell r="E66">
            <v>0</v>
          </cell>
          <cell r="F66">
            <v>8248.5</v>
          </cell>
          <cell r="G66">
            <v>7020</v>
          </cell>
          <cell r="H66">
            <v>1229</v>
          </cell>
          <cell r="I66">
            <v>172</v>
          </cell>
          <cell r="J66">
            <v>2.09</v>
          </cell>
          <cell r="K66">
            <v>7.1</v>
          </cell>
          <cell r="L66" t="str">
            <v xml:space="preserve">      </v>
          </cell>
          <cell r="M66" t="str">
            <v xml:space="preserve">     </v>
          </cell>
          <cell r="N66">
            <v>0</v>
          </cell>
          <cell r="O66">
            <v>85.1</v>
          </cell>
          <cell r="P66">
            <v>24.9</v>
          </cell>
          <cell r="Q66">
            <v>5503</v>
          </cell>
          <cell r="R66">
            <v>389</v>
          </cell>
          <cell r="S66">
            <v>4.72</v>
          </cell>
        </row>
        <row r="67">
          <cell r="A67" t="str">
            <v xml:space="preserve">375.00 02280000     </v>
          </cell>
          <cell r="B67">
            <v>53662</v>
          </cell>
          <cell r="C67">
            <v>55</v>
          </cell>
          <cell r="D67" t="str">
            <v xml:space="preserve">R1.5 </v>
          </cell>
          <cell r="E67">
            <v>0</v>
          </cell>
          <cell r="F67">
            <v>15107.04</v>
          </cell>
          <cell r="G67">
            <v>8727</v>
          </cell>
          <cell r="H67">
            <v>6381</v>
          </cell>
          <cell r="I67">
            <v>224</v>
          </cell>
          <cell r="J67">
            <v>1.48</v>
          </cell>
          <cell r="K67">
            <v>28.5</v>
          </cell>
          <cell r="L67" t="str">
            <v xml:space="preserve">      </v>
          </cell>
          <cell r="M67" t="str">
            <v xml:space="preserve">     </v>
          </cell>
          <cell r="N67">
            <v>0</v>
          </cell>
          <cell r="O67">
            <v>57.8</v>
          </cell>
          <cell r="P67">
            <v>33.200000000000003</v>
          </cell>
          <cell r="Q67">
            <v>6841</v>
          </cell>
          <cell r="R67">
            <v>312</v>
          </cell>
          <cell r="S67">
            <v>2.0699999999999998</v>
          </cell>
        </row>
        <row r="68">
          <cell r="A68" t="str">
            <v xml:space="preserve">375.00 02300000     </v>
          </cell>
          <cell r="B68">
            <v>41244</v>
          </cell>
          <cell r="C68">
            <v>55</v>
          </cell>
          <cell r="D68" t="str">
            <v xml:space="preserve">R1.5 </v>
          </cell>
          <cell r="E68">
            <v>0</v>
          </cell>
          <cell r="F68">
            <v>6535.36</v>
          </cell>
          <cell r="G68">
            <v>6454</v>
          </cell>
          <cell r="H68">
            <v>82</v>
          </cell>
          <cell r="I68">
            <v>16</v>
          </cell>
          <cell r="J68">
            <v>0.24</v>
          </cell>
          <cell r="K68">
            <v>5.0999999999999996</v>
          </cell>
          <cell r="L68" t="str">
            <v xml:space="preserve">      </v>
          </cell>
          <cell r="M68" t="str">
            <v xml:space="preserve">     </v>
          </cell>
          <cell r="N68">
            <v>0</v>
          </cell>
          <cell r="O68">
            <v>98.8</v>
          </cell>
          <cell r="P68">
            <v>27.4</v>
          </cell>
          <cell r="Q68">
            <v>5059</v>
          </cell>
          <cell r="R68">
            <v>288</v>
          </cell>
          <cell r="S68">
            <v>4.41</v>
          </cell>
        </row>
        <row r="69">
          <cell r="A69" t="str">
            <v xml:space="preserve">375.00 02310000     </v>
          </cell>
          <cell r="B69">
            <v>47453</v>
          </cell>
          <cell r="C69">
            <v>55</v>
          </cell>
          <cell r="D69" t="str">
            <v xml:space="preserve">R1.5 </v>
          </cell>
          <cell r="E69">
            <v>0</v>
          </cell>
          <cell r="F69">
            <v>4634.17</v>
          </cell>
          <cell r="G69">
            <v>2961</v>
          </cell>
          <cell r="H69">
            <v>1673</v>
          </cell>
          <cell r="I69">
            <v>84</v>
          </cell>
          <cell r="J69">
            <v>1.81</v>
          </cell>
          <cell r="K69">
            <v>19.899999999999999</v>
          </cell>
          <cell r="L69" t="str">
            <v xml:space="preserve">      </v>
          </cell>
          <cell r="M69" t="str">
            <v xml:space="preserve">     </v>
          </cell>
          <cell r="N69">
            <v>0</v>
          </cell>
          <cell r="O69">
            <v>63.9</v>
          </cell>
          <cell r="P69">
            <v>23.3</v>
          </cell>
          <cell r="Q69">
            <v>2321</v>
          </cell>
          <cell r="R69">
            <v>116</v>
          </cell>
          <cell r="S69">
            <v>2.5</v>
          </cell>
        </row>
        <row r="70">
          <cell r="A70" t="str">
            <v xml:space="preserve">375.00 02320000     </v>
          </cell>
          <cell r="B70">
            <v>40148</v>
          </cell>
          <cell r="C70">
            <v>55</v>
          </cell>
          <cell r="D70" t="str">
            <v xml:space="preserve">R1.5 </v>
          </cell>
          <cell r="E70">
            <v>0</v>
          </cell>
          <cell r="F70">
            <v>10206.200000000001</v>
          </cell>
          <cell r="G70">
            <v>10682</v>
          </cell>
          <cell r="H70">
            <v>-477</v>
          </cell>
          <cell r="I70">
            <v>0</v>
          </cell>
          <cell r="J70">
            <v>0</v>
          </cell>
          <cell r="K70">
            <v>0</v>
          </cell>
          <cell r="L70" t="str">
            <v xml:space="preserve">      </v>
          </cell>
          <cell r="M70" t="str">
            <v xml:space="preserve">     </v>
          </cell>
          <cell r="N70">
            <v>0</v>
          </cell>
          <cell r="O70">
            <v>104.7</v>
          </cell>
          <cell r="P70">
            <v>20.9</v>
          </cell>
          <cell r="Q70">
            <v>8373</v>
          </cell>
          <cell r="R70">
            <v>820</v>
          </cell>
          <cell r="S70">
            <v>8.0299999999999994</v>
          </cell>
        </row>
        <row r="71">
          <cell r="A71" t="str">
            <v xml:space="preserve">375.00 02380000     </v>
          </cell>
          <cell r="B71">
            <v>42339</v>
          </cell>
          <cell r="C71">
            <v>55</v>
          </cell>
          <cell r="D71" t="str">
            <v xml:space="preserve">R1.5 </v>
          </cell>
          <cell r="E71">
            <v>0</v>
          </cell>
          <cell r="F71">
            <v>888.58</v>
          </cell>
          <cell r="G71">
            <v>1017</v>
          </cell>
          <cell r="H71">
            <v>-128</v>
          </cell>
          <cell r="I71">
            <v>0</v>
          </cell>
          <cell r="J71">
            <v>0</v>
          </cell>
          <cell r="K71">
            <v>0</v>
          </cell>
          <cell r="L71" t="str">
            <v xml:space="preserve">      </v>
          </cell>
          <cell r="M71" t="str">
            <v xml:space="preserve">     </v>
          </cell>
          <cell r="N71">
            <v>0</v>
          </cell>
          <cell r="O71">
            <v>114.5</v>
          </cell>
          <cell r="P71">
            <v>81.3</v>
          </cell>
          <cell r="Q71">
            <v>797</v>
          </cell>
          <cell r="R71">
            <v>16</v>
          </cell>
          <cell r="S71">
            <v>1.8</v>
          </cell>
        </row>
        <row r="72">
          <cell r="A72" t="str">
            <v xml:space="preserve">375.00 02390000     </v>
          </cell>
          <cell r="B72">
            <v>43435</v>
          </cell>
          <cell r="C72">
            <v>55</v>
          </cell>
          <cell r="D72" t="str">
            <v xml:space="preserve">R1.5 </v>
          </cell>
          <cell r="E72">
            <v>0</v>
          </cell>
          <cell r="F72">
            <v>10407.66</v>
          </cell>
          <cell r="G72">
            <v>9379</v>
          </cell>
          <cell r="H72">
            <v>1029</v>
          </cell>
          <cell r="I72">
            <v>96</v>
          </cell>
          <cell r="J72">
            <v>0.92</v>
          </cell>
          <cell r="K72">
            <v>10.7</v>
          </cell>
          <cell r="L72" t="str">
            <v xml:space="preserve">      </v>
          </cell>
          <cell r="M72" t="str">
            <v xml:space="preserve">     </v>
          </cell>
          <cell r="N72">
            <v>0</v>
          </cell>
          <cell r="O72">
            <v>90.1</v>
          </cell>
          <cell r="P72">
            <v>31.2</v>
          </cell>
          <cell r="Q72">
            <v>7352</v>
          </cell>
          <cell r="R72">
            <v>290</v>
          </cell>
          <cell r="S72">
            <v>2.79</v>
          </cell>
        </row>
        <row r="73">
          <cell r="A73" t="str">
            <v xml:space="preserve">375.00 02400000     </v>
          </cell>
          <cell r="B73">
            <v>42339</v>
          </cell>
          <cell r="C73">
            <v>55</v>
          </cell>
          <cell r="D73" t="str">
            <v xml:space="preserve">R1.5 </v>
          </cell>
          <cell r="E73">
            <v>0</v>
          </cell>
          <cell r="F73">
            <v>20124.830000000002</v>
          </cell>
          <cell r="G73">
            <v>21016</v>
          </cell>
          <cell r="H73">
            <v>-891</v>
          </cell>
          <cell r="I73">
            <v>0</v>
          </cell>
          <cell r="J73">
            <v>0</v>
          </cell>
          <cell r="K73">
            <v>0</v>
          </cell>
          <cell r="L73" t="str">
            <v xml:space="preserve">      </v>
          </cell>
          <cell r="M73" t="str">
            <v xml:space="preserve">     </v>
          </cell>
          <cell r="N73">
            <v>0</v>
          </cell>
          <cell r="O73">
            <v>104.4</v>
          </cell>
          <cell r="P73">
            <v>42.6</v>
          </cell>
          <cell r="Q73">
            <v>16474</v>
          </cell>
          <cell r="R73">
            <v>479</v>
          </cell>
          <cell r="S73">
            <v>2.38</v>
          </cell>
        </row>
        <row r="74">
          <cell r="A74" t="str">
            <v xml:space="preserve">375.00 02420000     </v>
          </cell>
          <cell r="B74">
            <v>52201</v>
          </cell>
          <cell r="C74">
            <v>55</v>
          </cell>
          <cell r="D74" t="str">
            <v xml:space="preserve">R1.5 </v>
          </cell>
          <cell r="E74">
            <v>0</v>
          </cell>
          <cell r="F74">
            <v>27347.27</v>
          </cell>
          <cell r="G74">
            <v>14941</v>
          </cell>
          <cell r="H74">
            <v>12407</v>
          </cell>
          <cell r="I74">
            <v>449</v>
          </cell>
          <cell r="J74">
            <v>1.64</v>
          </cell>
          <cell r="K74">
            <v>27.6</v>
          </cell>
          <cell r="L74" t="str">
            <v xml:space="preserve">      </v>
          </cell>
          <cell r="M74" t="str">
            <v xml:space="preserve">     </v>
          </cell>
          <cell r="N74">
            <v>0</v>
          </cell>
          <cell r="O74">
            <v>54.6</v>
          </cell>
          <cell r="P74">
            <v>28.8</v>
          </cell>
          <cell r="Q74">
            <v>11712</v>
          </cell>
          <cell r="R74">
            <v>591</v>
          </cell>
          <cell r="S74">
            <v>2.16</v>
          </cell>
        </row>
        <row r="75">
          <cell r="A75" t="str">
            <v xml:space="preserve">375.00 02430000     </v>
          </cell>
          <cell r="B75">
            <v>42339</v>
          </cell>
          <cell r="C75">
            <v>55</v>
          </cell>
          <cell r="D75" t="str">
            <v xml:space="preserve">R1.5 </v>
          </cell>
          <cell r="E75">
            <v>0</v>
          </cell>
          <cell r="F75">
            <v>5515.47</v>
          </cell>
          <cell r="G75">
            <v>5824</v>
          </cell>
          <cell r="H75">
            <v>-308</v>
          </cell>
          <cell r="I75">
            <v>0</v>
          </cell>
          <cell r="J75">
            <v>0</v>
          </cell>
          <cell r="K75">
            <v>0</v>
          </cell>
          <cell r="L75" t="str">
            <v xml:space="preserve">      </v>
          </cell>
          <cell r="M75" t="str">
            <v xml:space="preserve">     </v>
          </cell>
          <cell r="N75">
            <v>0</v>
          </cell>
          <cell r="O75">
            <v>105.6</v>
          </cell>
          <cell r="P75">
            <v>44</v>
          </cell>
          <cell r="Q75">
            <v>4565</v>
          </cell>
          <cell r="R75">
            <v>125</v>
          </cell>
          <cell r="S75">
            <v>2.27</v>
          </cell>
        </row>
        <row r="76">
          <cell r="A76" t="str">
            <v xml:space="preserve">375.00 02440000     </v>
          </cell>
          <cell r="B76">
            <v>41244</v>
          </cell>
          <cell r="C76">
            <v>55</v>
          </cell>
          <cell r="D76" t="str">
            <v xml:space="preserve">R1.5 </v>
          </cell>
          <cell r="E76">
            <v>0</v>
          </cell>
          <cell r="F76">
            <v>10015.32</v>
          </cell>
          <cell r="G76">
            <v>9093</v>
          </cell>
          <cell r="H76">
            <v>923</v>
          </cell>
          <cell r="I76">
            <v>178</v>
          </cell>
          <cell r="J76">
            <v>1.78</v>
          </cell>
          <cell r="K76">
            <v>5.2</v>
          </cell>
          <cell r="L76" t="str">
            <v xml:space="preserve">      </v>
          </cell>
          <cell r="M76" t="str">
            <v xml:space="preserve">     </v>
          </cell>
          <cell r="N76">
            <v>0</v>
          </cell>
          <cell r="O76">
            <v>90.8</v>
          </cell>
          <cell r="P76">
            <v>26.3</v>
          </cell>
          <cell r="Q76">
            <v>7128</v>
          </cell>
          <cell r="R76">
            <v>560</v>
          </cell>
          <cell r="S76">
            <v>5.59</v>
          </cell>
        </row>
        <row r="77">
          <cell r="A77" t="str">
            <v xml:space="preserve">375.00 02470000     </v>
          </cell>
          <cell r="B77">
            <v>48183</v>
          </cell>
          <cell r="C77">
            <v>55</v>
          </cell>
          <cell r="D77" t="str">
            <v xml:space="preserve">R1.5 </v>
          </cell>
          <cell r="E77">
            <v>0</v>
          </cell>
          <cell r="F77">
            <v>12379.01</v>
          </cell>
          <cell r="G77">
            <v>7785</v>
          </cell>
          <cell r="H77">
            <v>4592</v>
          </cell>
          <cell r="I77">
            <v>217</v>
          </cell>
          <cell r="J77">
            <v>1.75</v>
          </cell>
          <cell r="K77">
            <v>21.2</v>
          </cell>
          <cell r="L77" t="str">
            <v xml:space="preserve">      </v>
          </cell>
          <cell r="M77" t="str">
            <v xml:space="preserve">     </v>
          </cell>
          <cell r="N77">
            <v>0</v>
          </cell>
          <cell r="O77">
            <v>62.9</v>
          </cell>
          <cell r="P77">
            <v>25.4</v>
          </cell>
          <cell r="Q77">
            <v>6102</v>
          </cell>
          <cell r="R77">
            <v>298</v>
          </cell>
          <cell r="S77">
            <v>2.41</v>
          </cell>
        </row>
        <row r="78">
          <cell r="A78" t="str">
            <v xml:space="preserve">375.00 02490000     </v>
          </cell>
          <cell r="B78">
            <v>40148</v>
          </cell>
          <cell r="C78">
            <v>55</v>
          </cell>
          <cell r="D78" t="str">
            <v xml:space="preserve">R1.5 </v>
          </cell>
          <cell r="E78">
            <v>0</v>
          </cell>
          <cell r="F78">
            <v>11399.21</v>
          </cell>
          <cell r="G78">
            <v>12544</v>
          </cell>
          <cell r="H78">
            <v>-1145</v>
          </cell>
          <cell r="I78">
            <v>0</v>
          </cell>
          <cell r="J78">
            <v>0</v>
          </cell>
          <cell r="K78">
            <v>0</v>
          </cell>
          <cell r="L78" t="str">
            <v xml:space="preserve">      </v>
          </cell>
          <cell r="M78" t="str">
            <v xml:space="preserve">     </v>
          </cell>
          <cell r="N78">
            <v>0</v>
          </cell>
          <cell r="O78">
            <v>110</v>
          </cell>
          <cell r="P78">
            <v>27.5</v>
          </cell>
          <cell r="Q78">
            <v>9833</v>
          </cell>
          <cell r="R78">
            <v>702</v>
          </cell>
          <cell r="S78">
            <v>6.16</v>
          </cell>
        </row>
        <row r="79">
          <cell r="A79" t="str">
            <v xml:space="preserve">375.00 02500000     </v>
          </cell>
          <cell r="B79">
            <v>44166</v>
          </cell>
          <cell r="C79">
            <v>55</v>
          </cell>
          <cell r="D79" t="str">
            <v xml:space="preserve">R1.5 </v>
          </cell>
          <cell r="E79">
            <v>0</v>
          </cell>
          <cell r="F79">
            <v>11554.64</v>
          </cell>
          <cell r="G79">
            <v>9026</v>
          </cell>
          <cell r="H79">
            <v>2529</v>
          </cell>
          <cell r="I79">
            <v>201</v>
          </cell>
          <cell r="J79">
            <v>1.74</v>
          </cell>
          <cell r="K79">
            <v>12.6</v>
          </cell>
          <cell r="L79" t="str">
            <v xml:space="preserve">      </v>
          </cell>
          <cell r="M79" t="str">
            <v xml:space="preserve">     </v>
          </cell>
          <cell r="N79">
            <v>0</v>
          </cell>
          <cell r="O79">
            <v>78.099999999999994</v>
          </cell>
          <cell r="P79">
            <v>27.3</v>
          </cell>
          <cell r="Q79">
            <v>7075</v>
          </cell>
          <cell r="R79">
            <v>361</v>
          </cell>
          <cell r="S79">
            <v>3.12</v>
          </cell>
        </row>
        <row r="80">
          <cell r="A80" t="str">
            <v xml:space="preserve">375.00 02510000     </v>
          </cell>
          <cell r="B80">
            <v>40148</v>
          </cell>
          <cell r="C80">
            <v>55</v>
          </cell>
          <cell r="D80" t="str">
            <v xml:space="preserve">R1.5 </v>
          </cell>
          <cell r="E80">
            <v>0</v>
          </cell>
          <cell r="F80">
            <v>17033.439999999999</v>
          </cell>
          <cell r="G80">
            <v>20528</v>
          </cell>
          <cell r="H80">
            <v>-3495</v>
          </cell>
          <cell r="I80">
            <v>0</v>
          </cell>
          <cell r="J80">
            <v>0</v>
          </cell>
          <cell r="K80">
            <v>0</v>
          </cell>
          <cell r="L80" t="str">
            <v xml:space="preserve">      </v>
          </cell>
          <cell r="M80" t="str">
            <v xml:space="preserve">     </v>
          </cell>
          <cell r="N80">
            <v>0</v>
          </cell>
          <cell r="O80">
            <v>120.5</v>
          </cell>
          <cell r="P80">
            <v>43.3</v>
          </cell>
          <cell r="Q80">
            <v>16091</v>
          </cell>
          <cell r="R80">
            <v>428</v>
          </cell>
          <cell r="S80">
            <v>2.5099999999999998</v>
          </cell>
        </row>
        <row r="81">
          <cell r="A81" t="str">
            <v xml:space="preserve">375.00 02530000     </v>
          </cell>
          <cell r="B81">
            <v>51471</v>
          </cell>
          <cell r="C81">
            <v>55</v>
          </cell>
          <cell r="D81" t="str">
            <v xml:space="preserve">R1.5 </v>
          </cell>
          <cell r="E81">
            <v>0</v>
          </cell>
          <cell r="F81">
            <v>4491.24</v>
          </cell>
          <cell r="G81">
            <v>2298</v>
          </cell>
          <cell r="H81">
            <v>2193</v>
          </cell>
          <cell r="I81">
            <v>80</v>
          </cell>
          <cell r="J81">
            <v>1.78</v>
          </cell>
          <cell r="K81">
            <v>27.4</v>
          </cell>
          <cell r="L81" t="str">
            <v xml:space="preserve">      </v>
          </cell>
          <cell r="M81" t="str">
            <v xml:space="preserve">     </v>
          </cell>
          <cell r="N81">
            <v>0</v>
          </cell>
          <cell r="O81">
            <v>51.2</v>
          </cell>
          <cell r="P81">
            <v>25.4</v>
          </cell>
          <cell r="Q81">
            <v>1801</v>
          </cell>
          <cell r="R81">
            <v>102</v>
          </cell>
          <cell r="S81">
            <v>2.27</v>
          </cell>
        </row>
        <row r="82">
          <cell r="A82" t="str">
            <v xml:space="preserve">375.00 02570000     </v>
          </cell>
          <cell r="B82">
            <v>43070</v>
          </cell>
          <cell r="C82">
            <v>55</v>
          </cell>
          <cell r="D82" t="str">
            <v xml:space="preserve">R1.5 </v>
          </cell>
          <cell r="E82">
            <v>0</v>
          </cell>
          <cell r="F82">
            <v>11472.15</v>
          </cell>
          <cell r="G82">
            <v>11128</v>
          </cell>
          <cell r="H82">
            <v>344</v>
          </cell>
          <cell r="I82">
            <v>36</v>
          </cell>
          <cell r="J82">
            <v>0.31</v>
          </cell>
          <cell r="K82">
            <v>9.6</v>
          </cell>
          <cell r="L82" t="str">
            <v xml:space="preserve">      </v>
          </cell>
          <cell r="M82" t="str">
            <v xml:space="preserve">     </v>
          </cell>
          <cell r="N82">
            <v>0</v>
          </cell>
          <cell r="O82">
            <v>97</v>
          </cell>
          <cell r="P82">
            <v>35.299999999999997</v>
          </cell>
          <cell r="Q82">
            <v>8723</v>
          </cell>
          <cell r="R82">
            <v>288</v>
          </cell>
          <cell r="S82">
            <v>2.5099999999999998</v>
          </cell>
        </row>
        <row r="83">
          <cell r="A83" t="str">
            <v xml:space="preserve">375.00 02600000     </v>
          </cell>
          <cell r="B83">
            <v>42339</v>
          </cell>
          <cell r="C83">
            <v>55</v>
          </cell>
          <cell r="D83" t="str">
            <v xml:space="preserve">R1.5 </v>
          </cell>
          <cell r="E83">
            <v>0</v>
          </cell>
          <cell r="F83">
            <v>6369.87</v>
          </cell>
          <cell r="G83">
            <v>5939</v>
          </cell>
          <cell r="H83">
            <v>431</v>
          </cell>
          <cell r="I83">
            <v>53</v>
          </cell>
          <cell r="J83">
            <v>0.83</v>
          </cell>
          <cell r="K83">
            <v>8.1</v>
          </cell>
          <cell r="L83" t="str">
            <v xml:space="preserve">      </v>
          </cell>
          <cell r="M83" t="str">
            <v xml:space="preserve">     </v>
          </cell>
          <cell r="N83">
            <v>0</v>
          </cell>
          <cell r="O83">
            <v>93.2</v>
          </cell>
          <cell r="P83">
            <v>33.9</v>
          </cell>
          <cell r="Q83">
            <v>4655</v>
          </cell>
          <cell r="R83">
            <v>218</v>
          </cell>
          <cell r="S83">
            <v>3.42</v>
          </cell>
        </row>
        <row r="84">
          <cell r="A84" t="str">
            <v xml:space="preserve">375.00 02610000     </v>
          </cell>
          <cell r="B84">
            <v>52932</v>
          </cell>
          <cell r="C84">
            <v>55</v>
          </cell>
          <cell r="D84" t="str">
            <v xml:space="preserve">R1.5 </v>
          </cell>
          <cell r="E84">
            <v>0</v>
          </cell>
          <cell r="F84">
            <v>7662.63</v>
          </cell>
          <cell r="G84">
            <v>3358</v>
          </cell>
          <cell r="H84">
            <v>4305</v>
          </cell>
          <cell r="I84">
            <v>143</v>
          </cell>
          <cell r="J84">
            <v>1.87</v>
          </cell>
          <cell r="K84">
            <v>30.1</v>
          </cell>
          <cell r="L84" t="str">
            <v xml:space="preserve">      </v>
          </cell>
          <cell r="M84" t="str">
            <v xml:space="preserve">     </v>
          </cell>
          <cell r="N84">
            <v>0</v>
          </cell>
          <cell r="O84">
            <v>43.8</v>
          </cell>
          <cell r="P84">
            <v>22</v>
          </cell>
          <cell r="Q84">
            <v>2632</v>
          </cell>
          <cell r="R84">
            <v>172</v>
          </cell>
          <cell r="S84">
            <v>2.2400000000000002</v>
          </cell>
        </row>
        <row r="85">
          <cell r="A85" t="str">
            <v xml:space="preserve">375.00 02620000     </v>
          </cell>
          <cell r="B85">
            <v>41609</v>
          </cell>
          <cell r="C85">
            <v>55</v>
          </cell>
          <cell r="D85" t="str">
            <v xml:space="preserve">R1.5 </v>
          </cell>
          <cell r="E85">
            <v>0</v>
          </cell>
          <cell r="F85">
            <v>14226.8</v>
          </cell>
          <cell r="G85">
            <v>13587</v>
          </cell>
          <cell r="H85">
            <v>640</v>
          </cell>
          <cell r="I85">
            <v>104</v>
          </cell>
          <cell r="J85">
            <v>0.73</v>
          </cell>
          <cell r="K85">
            <v>6.2</v>
          </cell>
          <cell r="L85" t="str">
            <v xml:space="preserve">      </v>
          </cell>
          <cell r="M85" t="str">
            <v xml:space="preserve">     </v>
          </cell>
          <cell r="N85">
            <v>0</v>
          </cell>
          <cell r="O85">
            <v>95.5</v>
          </cell>
          <cell r="P85">
            <v>30.2</v>
          </cell>
          <cell r="Q85">
            <v>10650</v>
          </cell>
          <cell r="R85">
            <v>589</v>
          </cell>
          <cell r="S85">
            <v>4.1399999999999997</v>
          </cell>
        </row>
        <row r="86">
          <cell r="A86" t="str">
            <v xml:space="preserve">375.00 02630000     </v>
          </cell>
          <cell r="B86">
            <v>47818</v>
          </cell>
          <cell r="C86">
            <v>55</v>
          </cell>
          <cell r="D86" t="str">
            <v xml:space="preserve">R1.5 </v>
          </cell>
          <cell r="E86">
            <v>0</v>
          </cell>
          <cell r="F86">
            <v>16484.310000000001</v>
          </cell>
          <cell r="G86">
            <v>8461</v>
          </cell>
          <cell r="H86">
            <v>8023</v>
          </cell>
          <cell r="I86">
            <v>379</v>
          </cell>
          <cell r="J86">
            <v>2.2999999999999998</v>
          </cell>
          <cell r="K86">
            <v>21.2</v>
          </cell>
          <cell r="L86" t="str">
            <v xml:space="preserve">      </v>
          </cell>
          <cell r="M86" t="str">
            <v xml:space="preserve">     </v>
          </cell>
          <cell r="N86">
            <v>0</v>
          </cell>
          <cell r="O86">
            <v>51.3</v>
          </cell>
          <cell r="P86">
            <v>17.3</v>
          </cell>
          <cell r="Q86">
            <v>6632</v>
          </cell>
          <cell r="R86">
            <v>466</v>
          </cell>
          <cell r="S86">
            <v>2.83</v>
          </cell>
        </row>
        <row r="87">
          <cell r="A87" t="str">
            <v xml:space="preserve">375.00 02640000     </v>
          </cell>
          <cell r="B87">
            <v>51836</v>
          </cell>
          <cell r="C87">
            <v>55</v>
          </cell>
          <cell r="D87" t="str">
            <v xml:space="preserve">R1.5 </v>
          </cell>
          <cell r="E87">
            <v>0</v>
          </cell>
          <cell r="F87">
            <v>52961.88</v>
          </cell>
          <cell r="G87">
            <v>18535</v>
          </cell>
          <cell r="H87">
            <v>34426</v>
          </cell>
          <cell r="I87">
            <v>1160</v>
          </cell>
          <cell r="J87">
            <v>2.19</v>
          </cell>
          <cell r="K87">
            <v>29.7</v>
          </cell>
          <cell r="L87" t="str">
            <v xml:space="preserve">      </v>
          </cell>
          <cell r="M87" t="str">
            <v xml:space="preserve">     </v>
          </cell>
          <cell r="N87">
            <v>0</v>
          </cell>
          <cell r="O87">
            <v>35</v>
          </cell>
          <cell r="P87">
            <v>14.3</v>
          </cell>
          <cell r="Q87">
            <v>14529</v>
          </cell>
          <cell r="R87">
            <v>1304</v>
          </cell>
          <cell r="S87">
            <v>2.46</v>
          </cell>
        </row>
        <row r="88">
          <cell r="A88" t="str">
            <v xml:space="preserve">375.00 02650000     </v>
          </cell>
          <cell r="B88">
            <v>40878</v>
          </cell>
          <cell r="C88">
            <v>55</v>
          </cell>
          <cell r="D88" t="str">
            <v xml:space="preserve">R1.5 </v>
          </cell>
          <cell r="E88">
            <v>0</v>
          </cell>
          <cell r="F88">
            <v>1461.06</v>
          </cell>
          <cell r="G88">
            <v>1185</v>
          </cell>
          <cell r="H88">
            <v>276</v>
          </cell>
          <cell r="I88">
            <v>66</v>
          </cell>
          <cell r="J88">
            <v>4.5199999999999996</v>
          </cell>
          <cell r="K88">
            <v>4.2</v>
          </cell>
          <cell r="L88" t="str">
            <v xml:space="preserve">      </v>
          </cell>
          <cell r="M88" t="str">
            <v xml:space="preserve">     </v>
          </cell>
          <cell r="N88">
            <v>0</v>
          </cell>
          <cell r="O88">
            <v>81.099999999999994</v>
          </cell>
          <cell r="P88">
            <v>7.6</v>
          </cell>
          <cell r="Q88">
            <v>929</v>
          </cell>
          <cell r="R88">
            <v>126</v>
          </cell>
          <cell r="S88">
            <v>8.6199999999999992</v>
          </cell>
        </row>
        <row r="89">
          <cell r="A89" t="str">
            <v xml:space="preserve">375.00 02660000     </v>
          </cell>
          <cell r="B89">
            <v>40878</v>
          </cell>
          <cell r="C89">
            <v>55</v>
          </cell>
          <cell r="D89" t="str">
            <v xml:space="preserve">R1.5 </v>
          </cell>
          <cell r="E89">
            <v>0</v>
          </cell>
          <cell r="F89">
            <v>16088.3</v>
          </cell>
          <cell r="G89">
            <v>16073</v>
          </cell>
          <cell r="H89">
            <v>16</v>
          </cell>
          <cell r="I89">
            <v>4</v>
          </cell>
          <cell r="J89">
            <v>0.02</v>
          </cell>
          <cell r="K89">
            <v>4</v>
          </cell>
          <cell r="L89" t="str">
            <v xml:space="preserve">      </v>
          </cell>
          <cell r="M89" t="str">
            <v xml:space="preserve">     </v>
          </cell>
          <cell r="N89">
            <v>0</v>
          </cell>
          <cell r="O89">
            <v>99.9</v>
          </cell>
          <cell r="P89">
            <v>22.6</v>
          </cell>
          <cell r="Q89">
            <v>12599</v>
          </cell>
          <cell r="R89">
            <v>833</v>
          </cell>
          <cell r="S89">
            <v>5.18</v>
          </cell>
        </row>
        <row r="90">
          <cell r="A90" t="str">
            <v xml:space="preserve">375.00 02690000     </v>
          </cell>
          <cell r="B90">
            <v>52566</v>
          </cell>
          <cell r="C90">
            <v>55</v>
          </cell>
          <cell r="D90" t="str">
            <v xml:space="preserve">R1.5 </v>
          </cell>
          <cell r="E90">
            <v>0</v>
          </cell>
          <cell r="F90">
            <v>31419.4</v>
          </cell>
          <cell r="G90">
            <v>8052</v>
          </cell>
          <cell r="H90">
            <v>23367</v>
          </cell>
          <cell r="I90">
            <v>735</v>
          </cell>
          <cell r="J90">
            <v>2.34</v>
          </cell>
          <cell r="K90">
            <v>31.8</v>
          </cell>
          <cell r="L90" t="str">
            <v xml:space="preserve">      </v>
          </cell>
          <cell r="M90" t="str">
            <v xml:space="preserve">     </v>
          </cell>
          <cell r="N90">
            <v>0</v>
          </cell>
          <cell r="O90">
            <v>25.6</v>
          </cell>
          <cell r="P90">
            <v>9.3000000000000007</v>
          </cell>
          <cell r="Q90">
            <v>6312</v>
          </cell>
          <cell r="R90">
            <v>789</v>
          </cell>
          <cell r="S90">
            <v>2.5099999999999998</v>
          </cell>
        </row>
        <row r="91">
          <cell r="A91" t="str">
            <v xml:space="preserve">375.00 04020000     </v>
          </cell>
          <cell r="B91">
            <v>52566</v>
          </cell>
          <cell r="C91">
            <v>55</v>
          </cell>
          <cell r="D91" t="str">
            <v xml:space="preserve">R1.5 </v>
          </cell>
          <cell r="E91">
            <v>0</v>
          </cell>
          <cell r="F91">
            <v>63754.29</v>
          </cell>
          <cell r="G91">
            <v>41690</v>
          </cell>
          <cell r="H91">
            <v>22064</v>
          </cell>
          <cell r="I91">
            <v>854</v>
          </cell>
          <cell r="J91">
            <v>1.34</v>
          </cell>
          <cell r="K91">
            <v>25.8</v>
          </cell>
          <cell r="L91" t="str">
            <v xml:space="preserve">      </v>
          </cell>
          <cell r="M91" t="str">
            <v xml:space="preserve">     </v>
          </cell>
          <cell r="N91">
            <v>0</v>
          </cell>
          <cell r="O91">
            <v>65.400000000000006</v>
          </cell>
          <cell r="P91">
            <v>37.700000000000003</v>
          </cell>
          <cell r="Q91">
            <v>32679</v>
          </cell>
          <cell r="R91">
            <v>1300</v>
          </cell>
          <cell r="S91">
            <v>2.04</v>
          </cell>
        </row>
        <row r="92">
          <cell r="A92" t="str">
            <v xml:space="preserve">375.00 04030000     </v>
          </cell>
          <cell r="B92">
            <v>51471</v>
          </cell>
          <cell r="C92">
            <v>55</v>
          </cell>
          <cell r="D92" t="str">
            <v xml:space="preserve">R1.5 </v>
          </cell>
          <cell r="E92">
            <v>0</v>
          </cell>
          <cell r="F92">
            <v>26200.33</v>
          </cell>
          <cell r="G92">
            <v>15337</v>
          </cell>
          <cell r="H92">
            <v>10863</v>
          </cell>
          <cell r="I92">
            <v>413</v>
          </cell>
          <cell r="J92">
            <v>1.58</v>
          </cell>
          <cell r="K92">
            <v>26.3</v>
          </cell>
          <cell r="L92" t="str">
            <v xml:space="preserve">      </v>
          </cell>
          <cell r="M92" t="str">
            <v xml:space="preserve">     </v>
          </cell>
          <cell r="N92">
            <v>0</v>
          </cell>
          <cell r="O92">
            <v>58.5</v>
          </cell>
          <cell r="P92">
            <v>32</v>
          </cell>
          <cell r="Q92">
            <v>12022</v>
          </cell>
          <cell r="R92">
            <v>577</v>
          </cell>
          <cell r="S92">
            <v>2.2000000000000002</v>
          </cell>
        </row>
        <row r="93">
          <cell r="A93" t="str">
            <v xml:space="preserve">375.00 04050000     </v>
          </cell>
          <cell r="B93">
            <v>52566</v>
          </cell>
          <cell r="C93">
            <v>55</v>
          </cell>
          <cell r="D93" t="str">
            <v xml:space="preserve">R1.5 </v>
          </cell>
          <cell r="E93">
            <v>0</v>
          </cell>
          <cell r="F93">
            <v>18841.509999999998</v>
          </cell>
          <cell r="G93">
            <v>10922</v>
          </cell>
          <cell r="H93">
            <v>7920</v>
          </cell>
          <cell r="I93">
            <v>288</v>
          </cell>
          <cell r="J93">
            <v>1.53</v>
          </cell>
          <cell r="K93">
            <v>27.5</v>
          </cell>
          <cell r="L93" t="str">
            <v xml:space="preserve">      </v>
          </cell>
          <cell r="M93" t="str">
            <v xml:space="preserve">     </v>
          </cell>
          <cell r="N93">
            <v>0</v>
          </cell>
          <cell r="O93">
            <v>58</v>
          </cell>
          <cell r="P93">
            <v>32.700000000000003</v>
          </cell>
          <cell r="Q93">
            <v>8561</v>
          </cell>
          <cell r="R93">
            <v>403</v>
          </cell>
          <cell r="S93">
            <v>2.14</v>
          </cell>
        </row>
        <row r="94">
          <cell r="A94" t="str">
            <v xml:space="preserve">375.00 04060000     </v>
          </cell>
          <cell r="B94">
            <v>40148</v>
          </cell>
          <cell r="C94">
            <v>55</v>
          </cell>
          <cell r="D94" t="str">
            <v xml:space="preserve">R1.5 </v>
          </cell>
          <cell r="E94">
            <v>0</v>
          </cell>
          <cell r="F94">
            <v>5301.9</v>
          </cell>
          <cell r="G94">
            <v>5571</v>
          </cell>
          <cell r="H94">
            <v>-269</v>
          </cell>
          <cell r="I94">
            <v>0</v>
          </cell>
          <cell r="J94">
            <v>0</v>
          </cell>
          <cell r="K94">
            <v>0</v>
          </cell>
          <cell r="L94" t="str">
            <v xml:space="preserve">      </v>
          </cell>
          <cell r="M94" t="str">
            <v xml:space="preserve">     </v>
          </cell>
          <cell r="N94">
            <v>0</v>
          </cell>
          <cell r="O94">
            <v>105.1</v>
          </cell>
          <cell r="P94">
            <v>11.2</v>
          </cell>
          <cell r="Q94">
            <v>4367</v>
          </cell>
          <cell r="R94">
            <v>417</v>
          </cell>
          <cell r="S94">
            <v>7.87</v>
          </cell>
        </row>
        <row r="95">
          <cell r="A95" t="str">
            <v xml:space="preserve">375.00 04070000     </v>
          </cell>
          <cell r="B95">
            <v>49644</v>
          </cell>
          <cell r="C95">
            <v>55</v>
          </cell>
          <cell r="D95" t="str">
            <v xml:space="preserve">R1.5 </v>
          </cell>
          <cell r="E95">
            <v>0</v>
          </cell>
          <cell r="F95">
            <v>43848.73</v>
          </cell>
          <cell r="G95">
            <v>25746</v>
          </cell>
          <cell r="H95">
            <v>18103</v>
          </cell>
          <cell r="I95">
            <v>763</v>
          </cell>
          <cell r="J95">
            <v>1.74</v>
          </cell>
          <cell r="K95">
            <v>23.7</v>
          </cell>
          <cell r="L95" t="str">
            <v xml:space="preserve">      </v>
          </cell>
          <cell r="M95" t="str">
            <v xml:space="preserve">     </v>
          </cell>
          <cell r="N95">
            <v>0</v>
          </cell>
          <cell r="O95">
            <v>58.7</v>
          </cell>
          <cell r="P95">
            <v>28.1</v>
          </cell>
          <cell r="Q95">
            <v>20181</v>
          </cell>
          <cell r="R95">
            <v>1026</v>
          </cell>
          <cell r="S95">
            <v>2.34</v>
          </cell>
        </row>
        <row r="96">
          <cell r="A96" t="str">
            <v xml:space="preserve">375.00 04080000     </v>
          </cell>
          <cell r="B96">
            <v>42339</v>
          </cell>
          <cell r="C96">
            <v>55</v>
          </cell>
          <cell r="D96" t="str">
            <v xml:space="preserve">R1.5 </v>
          </cell>
          <cell r="E96">
            <v>0</v>
          </cell>
          <cell r="F96">
            <v>5175.21</v>
          </cell>
          <cell r="G96">
            <v>3877</v>
          </cell>
          <cell r="H96">
            <v>1298</v>
          </cell>
          <cell r="I96">
            <v>160</v>
          </cell>
          <cell r="J96">
            <v>3.09</v>
          </cell>
          <cell r="K96">
            <v>8.1</v>
          </cell>
          <cell r="L96" t="str">
            <v xml:space="preserve">      </v>
          </cell>
          <cell r="M96" t="str">
            <v xml:space="preserve">     </v>
          </cell>
          <cell r="N96">
            <v>0</v>
          </cell>
          <cell r="O96">
            <v>74.900000000000006</v>
          </cell>
          <cell r="P96">
            <v>28</v>
          </cell>
          <cell r="Q96">
            <v>3039</v>
          </cell>
          <cell r="R96">
            <v>269</v>
          </cell>
          <cell r="S96">
            <v>5.2</v>
          </cell>
        </row>
        <row r="97">
          <cell r="A97" t="str">
            <v xml:space="preserve">375.00 04090000     </v>
          </cell>
          <cell r="B97">
            <v>52566</v>
          </cell>
          <cell r="C97">
            <v>55</v>
          </cell>
          <cell r="D97" t="str">
            <v xml:space="preserve">R1.5 </v>
          </cell>
          <cell r="E97">
            <v>0</v>
          </cell>
          <cell r="F97">
            <v>26151</v>
          </cell>
          <cell r="G97">
            <v>6703</v>
          </cell>
          <cell r="H97">
            <v>19448</v>
          </cell>
          <cell r="I97">
            <v>612</v>
          </cell>
          <cell r="J97">
            <v>2.34</v>
          </cell>
          <cell r="K97">
            <v>31.8</v>
          </cell>
          <cell r="L97" t="str">
            <v xml:space="preserve">      </v>
          </cell>
          <cell r="M97" t="str">
            <v xml:space="preserve">     </v>
          </cell>
          <cell r="N97">
            <v>0</v>
          </cell>
          <cell r="O97">
            <v>25.6</v>
          </cell>
          <cell r="P97">
            <v>9.3000000000000007</v>
          </cell>
          <cell r="Q97">
            <v>5254</v>
          </cell>
          <cell r="R97">
            <v>656</v>
          </cell>
          <cell r="S97">
            <v>2.5099999999999998</v>
          </cell>
        </row>
        <row r="98">
          <cell r="A98" t="str">
            <v xml:space="preserve">375.00 04250000     </v>
          </cell>
          <cell r="B98">
            <v>47088</v>
          </cell>
          <cell r="C98">
            <v>55</v>
          </cell>
          <cell r="D98" t="str">
            <v xml:space="preserve">R1.5 </v>
          </cell>
          <cell r="E98">
            <v>0</v>
          </cell>
          <cell r="F98">
            <v>11954.32</v>
          </cell>
          <cell r="G98">
            <v>7962</v>
          </cell>
          <cell r="H98">
            <v>3992</v>
          </cell>
          <cell r="I98">
            <v>210</v>
          </cell>
          <cell r="J98">
            <v>1.76</v>
          </cell>
          <cell r="K98">
            <v>19</v>
          </cell>
          <cell r="L98" t="str">
            <v xml:space="preserve">      </v>
          </cell>
          <cell r="M98" t="str">
            <v xml:space="preserve">     </v>
          </cell>
          <cell r="N98">
            <v>0</v>
          </cell>
          <cell r="O98">
            <v>66.599999999999994</v>
          </cell>
          <cell r="P98">
            <v>24.3</v>
          </cell>
          <cell r="Q98">
            <v>6241</v>
          </cell>
          <cell r="R98">
            <v>300</v>
          </cell>
          <cell r="S98">
            <v>2.5099999999999998</v>
          </cell>
        </row>
        <row r="99">
          <cell r="A99" t="str">
            <v xml:space="preserve">375.00 04260000     </v>
          </cell>
          <cell r="B99">
            <v>47088</v>
          </cell>
          <cell r="C99">
            <v>55</v>
          </cell>
          <cell r="D99" t="str">
            <v xml:space="preserve">R1.5 </v>
          </cell>
          <cell r="E99">
            <v>0</v>
          </cell>
          <cell r="F99">
            <v>2965.46</v>
          </cell>
          <cell r="G99">
            <v>1975</v>
          </cell>
          <cell r="H99">
            <v>990</v>
          </cell>
          <cell r="I99">
            <v>52</v>
          </cell>
          <cell r="J99">
            <v>1.75</v>
          </cell>
          <cell r="K99">
            <v>19</v>
          </cell>
          <cell r="L99" t="str">
            <v xml:space="preserve">      </v>
          </cell>
          <cell r="M99" t="str">
            <v xml:space="preserve">     </v>
          </cell>
          <cell r="N99">
            <v>0</v>
          </cell>
          <cell r="O99">
            <v>66.599999999999994</v>
          </cell>
          <cell r="P99">
            <v>24.3</v>
          </cell>
          <cell r="Q99">
            <v>1548</v>
          </cell>
          <cell r="R99">
            <v>74</v>
          </cell>
          <cell r="S99">
            <v>2.5</v>
          </cell>
        </row>
        <row r="100">
          <cell r="A100" t="str">
            <v xml:space="preserve">375.00 04610000     </v>
          </cell>
          <cell r="B100">
            <v>53662</v>
          </cell>
          <cell r="C100">
            <v>55</v>
          </cell>
          <cell r="D100" t="str">
            <v xml:space="preserve">R1.5 </v>
          </cell>
          <cell r="E100">
            <v>0</v>
          </cell>
          <cell r="F100">
            <v>143957.97</v>
          </cell>
          <cell r="G100">
            <v>26739</v>
          </cell>
          <cell r="H100">
            <v>117219</v>
          </cell>
          <cell r="I100">
            <v>3419</v>
          </cell>
          <cell r="J100">
            <v>2.37</v>
          </cell>
          <cell r="K100">
            <v>34.299999999999997</v>
          </cell>
          <cell r="L100" t="str">
            <v xml:space="preserve">      </v>
          </cell>
          <cell r="M100" t="str">
            <v xml:space="preserve">     </v>
          </cell>
          <cell r="N100">
            <v>0</v>
          </cell>
          <cell r="O100">
            <v>18.600000000000001</v>
          </cell>
          <cell r="P100">
            <v>6.8</v>
          </cell>
          <cell r="Q100">
            <v>20960</v>
          </cell>
          <cell r="R100">
            <v>3585</v>
          </cell>
          <cell r="S100">
            <v>2.4900000000000002</v>
          </cell>
        </row>
        <row r="101">
          <cell r="A101" t="str">
            <v xml:space="preserve">375.00 05040000     </v>
          </cell>
          <cell r="B101">
            <v>52566</v>
          </cell>
          <cell r="C101">
            <v>55</v>
          </cell>
          <cell r="D101" t="str">
            <v xml:space="preserve">R1.5 </v>
          </cell>
          <cell r="E101">
            <v>0</v>
          </cell>
          <cell r="F101">
            <v>27154.74</v>
          </cell>
          <cell r="G101">
            <v>16699</v>
          </cell>
          <cell r="H101">
            <v>10456</v>
          </cell>
          <cell r="I101">
            <v>397</v>
          </cell>
          <cell r="J101">
            <v>1.46</v>
          </cell>
          <cell r="K101">
            <v>26.3</v>
          </cell>
          <cell r="L101" t="str">
            <v xml:space="preserve">      </v>
          </cell>
          <cell r="M101" t="str">
            <v xml:space="preserve">     </v>
          </cell>
          <cell r="N101">
            <v>0</v>
          </cell>
          <cell r="O101">
            <v>61.5</v>
          </cell>
          <cell r="P101">
            <v>34.200000000000003</v>
          </cell>
          <cell r="Q101">
            <v>13090</v>
          </cell>
          <cell r="R101">
            <v>558</v>
          </cell>
          <cell r="S101">
            <v>2.0499999999999998</v>
          </cell>
        </row>
        <row r="102">
          <cell r="A102" t="str">
            <v xml:space="preserve">375.00 05060000     </v>
          </cell>
          <cell r="B102">
            <v>48549</v>
          </cell>
          <cell r="C102">
            <v>55</v>
          </cell>
          <cell r="D102" t="str">
            <v xml:space="preserve">R1.5 </v>
          </cell>
          <cell r="E102">
            <v>0</v>
          </cell>
          <cell r="F102">
            <v>13171.33</v>
          </cell>
          <cell r="G102">
            <v>6893</v>
          </cell>
          <cell r="H102">
            <v>6279</v>
          </cell>
          <cell r="I102">
            <v>277</v>
          </cell>
          <cell r="J102">
            <v>2.1</v>
          </cell>
          <cell r="K102">
            <v>22.7</v>
          </cell>
          <cell r="L102" t="str">
            <v xml:space="preserve">      </v>
          </cell>
          <cell r="M102" t="str">
            <v xml:space="preserve">     </v>
          </cell>
          <cell r="N102">
            <v>0</v>
          </cell>
          <cell r="O102">
            <v>52.3</v>
          </cell>
          <cell r="P102">
            <v>18.899999999999999</v>
          </cell>
          <cell r="Q102">
            <v>5403</v>
          </cell>
          <cell r="R102">
            <v>345</v>
          </cell>
          <cell r="S102">
            <v>2.62</v>
          </cell>
        </row>
        <row r="103">
          <cell r="A103" t="str">
            <v xml:space="preserve">375.00 05070000     </v>
          </cell>
          <cell r="B103">
            <v>48549</v>
          </cell>
          <cell r="C103">
            <v>55</v>
          </cell>
          <cell r="D103" t="str">
            <v xml:space="preserve">R1.5 </v>
          </cell>
          <cell r="E103">
            <v>0</v>
          </cell>
          <cell r="F103">
            <v>8678.1200000000008</v>
          </cell>
          <cell r="G103">
            <v>5269</v>
          </cell>
          <cell r="H103">
            <v>3409</v>
          </cell>
          <cell r="I103">
            <v>155</v>
          </cell>
          <cell r="J103">
            <v>1.79</v>
          </cell>
          <cell r="K103">
            <v>22</v>
          </cell>
          <cell r="L103" t="str">
            <v xml:space="preserve">      </v>
          </cell>
          <cell r="M103" t="str">
            <v xml:space="preserve">     </v>
          </cell>
          <cell r="N103">
            <v>0</v>
          </cell>
          <cell r="O103">
            <v>60.7</v>
          </cell>
          <cell r="P103">
            <v>24.8</v>
          </cell>
          <cell r="Q103">
            <v>4130</v>
          </cell>
          <cell r="R103">
            <v>209</v>
          </cell>
          <cell r="S103">
            <v>2.41</v>
          </cell>
        </row>
        <row r="104">
          <cell r="A104" t="str">
            <v xml:space="preserve">375.00 05080000     </v>
          </cell>
          <cell r="B104">
            <v>42339</v>
          </cell>
          <cell r="C104">
            <v>55</v>
          </cell>
          <cell r="D104" t="str">
            <v xml:space="preserve">R1.5 </v>
          </cell>
          <cell r="E104">
            <v>0</v>
          </cell>
          <cell r="F104">
            <v>6049.71</v>
          </cell>
          <cell r="G104">
            <v>6377</v>
          </cell>
          <cell r="H104">
            <v>-328</v>
          </cell>
          <cell r="I104">
            <v>0</v>
          </cell>
          <cell r="J104">
            <v>0</v>
          </cell>
          <cell r="K104">
            <v>0</v>
          </cell>
          <cell r="L104" t="str">
            <v xml:space="preserve">      </v>
          </cell>
          <cell r="M104" t="str">
            <v xml:space="preserve">     </v>
          </cell>
          <cell r="N104">
            <v>0</v>
          </cell>
          <cell r="O104">
            <v>105.4</v>
          </cell>
          <cell r="P104">
            <v>43.6</v>
          </cell>
          <cell r="Q104">
            <v>4999</v>
          </cell>
          <cell r="R104">
            <v>138</v>
          </cell>
          <cell r="S104">
            <v>2.2799999999999998</v>
          </cell>
        </row>
        <row r="105">
          <cell r="A105" t="str">
            <v xml:space="preserve">375.00 05090000     </v>
          </cell>
          <cell r="B105">
            <v>42339</v>
          </cell>
          <cell r="C105">
            <v>55</v>
          </cell>
          <cell r="D105" t="str">
            <v xml:space="preserve">R1.5 </v>
          </cell>
          <cell r="E105">
            <v>0</v>
          </cell>
          <cell r="F105">
            <v>9494.01</v>
          </cell>
          <cell r="G105">
            <v>9749</v>
          </cell>
          <cell r="H105">
            <v>-255</v>
          </cell>
          <cell r="I105">
            <v>0</v>
          </cell>
          <cell r="J105">
            <v>0</v>
          </cell>
          <cell r="K105">
            <v>0</v>
          </cell>
          <cell r="L105" t="str">
            <v xml:space="preserve">      </v>
          </cell>
          <cell r="M105" t="str">
            <v xml:space="preserve">     </v>
          </cell>
          <cell r="N105">
            <v>0</v>
          </cell>
          <cell r="O105">
            <v>102.7</v>
          </cell>
          <cell r="P105">
            <v>37.200000000000003</v>
          </cell>
          <cell r="Q105">
            <v>7642</v>
          </cell>
          <cell r="R105">
            <v>239</v>
          </cell>
          <cell r="S105">
            <v>2.52</v>
          </cell>
        </row>
        <row r="106">
          <cell r="A106" t="str">
            <v xml:space="preserve">375.00 05270000     </v>
          </cell>
          <cell r="B106">
            <v>42339</v>
          </cell>
          <cell r="C106">
            <v>55</v>
          </cell>
          <cell r="D106" t="str">
            <v xml:space="preserve">R1.5 </v>
          </cell>
          <cell r="E106">
            <v>0</v>
          </cell>
          <cell r="F106">
            <v>18007.52</v>
          </cell>
          <cell r="G106">
            <v>20395</v>
          </cell>
          <cell r="H106">
            <v>-2387</v>
          </cell>
          <cell r="I106">
            <v>0</v>
          </cell>
          <cell r="J106">
            <v>0</v>
          </cell>
          <cell r="K106">
            <v>0</v>
          </cell>
          <cell r="L106" t="str">
            <v xml:space="preserve">      </v>
          </cell>
          <cell r="M106" t="str">
            <v xml:space="preserve">     </v>
          </cell>
          <cell r="N106">
            <v>0</v>
          </cell>
          <cell r="O106">
            <v>113.3</v>
          </cell>
          <cell r="P106">
            <v>75.2</v>
          </cell>
          <cell r="Q106">
            <v>15987</v>
          </cell>
          <cell r="R106">
            <v>345</v>
          </cell>
          <cell r="S106">
            <v>1.92</v>
          </cell>
        </row>
        <row r="107">
          <cell r="A107" t="str">
            <v xml:space="preserve">375.00 05320000     </v>
          </cell>
          <cell r="B107">
            <v>42339</v>
          </cell>
          <cell r="C107">
            <v>55</v>
          </cell>
          <cell r="D107" t="str">
            <v xml:space="preserve">R1.5 </v>
          </cell>
          <cell r="E107">
            <v>0</v>
          </cell>
          <cell r="F107">
            <v>9963.36</v>
          </cell>
          <cell r="G107">
            <v>11512</v>
          </cell>
          <cell r="H107">
            <v>-1550</v>
          </cell>
          <cell r="I107">
            <v>0</v>
          </cell>
          <cell r="J107">
            <v>0</v>
          </cell>
          <cell r="K107">
            <v>0</v>
          </cell>
          <cell r="L107" t="str">
            <v xml:space="preserve">      </v>
          </cell>
          <cell r="M107" t="str">
            <v xml:space="preserve">     </v>
          </cell>
          <cell r="N107">
            <v>0</v>
          </cell>
          <cell r="O107">
            <v>115.5</v>
          </cell>
          <cell r="P107">
            <v>83.3</v>
          </cell>
          <cell r="Q107">
            <v>9024</v>
          </cell>
          <cell r="R107">
            <v>170</v>
          </cell>
          <cell r="S107">
            <v>1.71</v>
          </cell>
        </row>
        <row r="108">
          <cell r="A108" t="str">
            <v xml:space="preserve">375.00 05330000     </v>
          </cell>
          <cell r="B108">
            <v>42339</v>
          </cell>
          <cell r="C108">
            <v>55</v>
          </cell>
          <cell r="D108" t="str">
            <v xml:space="preserve">R1.5 </v>
          </cell>
          <cell r="E108">
            <v>0</v>
          </cell>
          <cell r="F108">
            <v>3073.82</v>
          </cell>
          <cell r="G108">
            <v>3510</v>
          </cell>
          <cell r="H108">
            <v>-437</v>
          </cell>
          <cell r="I108">
            <v>0</v>
          </cell>
          <cell r="J108">
            <v>0</v>
          </cell>
          <cell r="K108">
            <v>0</v>
          </cell>
          <cell r="L108" t="str">
            <v xml:space="preserve">      </v>
          </cell>
          <cell r="M108" t="str">
            <v xml:space="preserve">     </v>
          </cell>
          <cell r="N108">
            <v>0</v>
          </cell>
          <cell r="O108">
            <v>114.2</v>
          </cell>
          <cell r="P108">
            <v>76.3</v>
          </cell>
          <cell r="Q108">
            <v>2751</v>
          </cell>
          <cell r="R108">
            <v>41</v>
          </cell>
          <cell r="S108">
            <v>1.33</v>
          </cell>
        </row>
        <row r="109">
          <cell r="A109" t="str">
            <v xml:space="preserve">375.00 06510000     </v>
          </cell>
          <cell r="B109">
            <v>41974</v>
          </cell>
          <cell r="C109">
            <v>55</v>
          </cell>
          <cell r="D109" t="str">
            <v xml:space="preserve">R1.5 </v>
          </cell>
          <cell r="E109">
            <v>0</v>
          </cell>
          <cell r="F109">
            <v>7925.34</v>
          </cell>
          <cell r="G109">
            <v>8430</v>
          </cell>
          <cell r="H109">
            <v>-504</v>
          </cell>
          <cell r="I109">
            <v>0</v>
          </cell>
          <cell r="J109">
            <v>0</v>
          </cell>
          <cell r="K109">
            <v>0</v>
          </cell>
          <cell r="L109" t="str">
            <v xml:space="preserve">      </v>
          </cell>
          <cell r="M109" t="str">
            <v xml:space="preserve">     </v>
          </cell>
          <cell r="N109">
            <v>0</v>
          </cell>
          <cell r="O109">
            <v>106.4</v>
          </cell>
          <cell r="P109">
            <v>40.200000000000003</v>
          </cell>
          <cell r="Q109">
            <v>6608</v>
          </cell>
          <cell r="R109">
            <v>193</v>
          </cell>
          <cell r="S109">
            <v>2.44</v>
          </cell>
        </row>
        <row r="110">
          <cell r="A110" t="str">
            <v xml:space="preserve">375.00 06520000     </v>
          </cell>
          <cell r="B110">
            <v>48549</v>
          </cell>
          <cell r="C110">
            <v>55</v>
          </cell>
          <cell r="D110" t="str">
            <v xml:space="preserve">R1.5 </v>
          </cell>
          <cell r="E110">
            <v>0</v>
          </cell>
          <cell r="F110">
            <v>8960.51</v>
          </cell>
          <cell r="G110">
            <v>5530</v>
          </cell>
          <cell r="H110">
            <v>3431</v>
          </cell>
          <cell r="I110">
            <v>157</v>
          </cell>
          <cell r="J110">
            <v>1.75</v>
          </cell>
          <cell r="K110">
            <v>21.9</v>
          </cell>
          <cell r="L110" t="str">
            <v xml:space="preserve">      </v>
          </cell>
          <cell r="M110" t="str">
            <v xml:space="preserve">     </v>
          </cell>
          <cell r="N110">
            <v>0</v>
          </cell>
          <cell r="O110">
            <v>61.7</v>
          </cell>
          <cell r="P110">
            <v>25.8</v>
          </cell>
          <cell r="Q110">
            <v>4335</v>
          </cell>
          <cell r="R110">
            <v>214</v>
          </cell>
          <cell r="S110">
            <v>2.39</v>
          </cell>
        </row>
        <row r="111">
          <cell r="A111" t="str">
            <v xml:space="preserve">375.00 06550000     </v>
          </cell>
          <cell r="B111">
            <v>42339</v>
          </cell>
          <cell r="C111">
            <v>55</v>
          </cell>
          <cell r="D111" t="str">
            <v xml:space="preserve">R1.5 </v>
          </cell>
          <cell r="E111">
            <v>0</v>
          </cell>
          <cell r="F111">
            <v>914.6</v>
          </cell>
          <cell r="G111">
            <v>970</v>
          </cell>
          <cell r="H111">
            <v>-55</v>
          </cell>
          <cell r="I111">
            <v>0</v>
          </cell>
          <cell r="J111">
            <v>0</v>
          </cell>
          <cell r="K111">
            <v>0</v>
          </cell>
          <cell r="L111" t="str">
            <v xml:space="preserve">      </v>
          </cell>
          <cell r="M111" t="str">
            <v xml:space="preserve">     </v>
          </cell>
          <cell r="N111">
            <v>0</v>
          </cell>
          <cell r="O111">
            <v>106.1</v>
          </cell>
          <cell r="P111">
            <v>45.3</v>
          </cell>
          <cell r="Q111">
            <v>760</v>
          </cell>
          <cell r="R111">
            <v>20</v>
          </cell>
          <cell r="S111">
            <v>2.19</v>
          </cell>
        </row>
        <row r="112">
          <cell r="A112" t="str">
            <v xml:space="preserve">375.00 06720000     </v>
          </cell>
          <cell r="B112">
            <v>49644</v>
          </cell>
          <cell r="C112">
            <v>55</v>
          </cell>
          <cell r="D112" t="str">
            <v xml:space="preserve">R1.5 </v>
          </cell>
          <cell r="E112">
            <v>0</v>
          </cell>
          <cell r="F112">
            <v>18198.95</v>
          </cell>
          <cell r="G112">
            <v>7392</v>
          </cell>
          <cell r="H112">
            <v>10807</v>
          </cell>
          <cell r="I112">
            <v>426</v>
          </cell>
          <cell r="J112">
            <v>2.34</v>
          </cell>
          <cell r="K112">
            <v>25.4</v>
          </cell>
          <cell r="L112" t="str">
            <v xml:space="preserve">      </v>
          </cell>
          <cell r="M112" t="str">
            <v xml:space="preserve">     </v>
          </cell>
          <cell r="N112">
            <v>0</v>
          </cell>
          <cell r="O112">
            <v>40.6</v>
          </cell>
          <cell r="P112">
            <v>14</v>
          </cell>
          <cell r="Q112">
            <v>5794</v>
          </cell>
          <cell r="R112">
            <v>489</v>
          </cell>
          <cell r="S112">
            <v>2.69</v>
          </cell>
        </row>
        <row r="113">
          <cell r="A113" t="str">
            <v xml:space="preserve">375.00 06730000     </v>
          </cell>
          <cell r="B113">
            <v>53297</v>
          </cell>
          <cell r="C113">
            <v>55</v>
          </cell>
          <cell r="D113" t="str">
            <v xml:space="preserve">R1.5 </v>
          </cell>
          <cell r="E113">
            <v>0</v>
          </cell>
          <cell r="F113">
            <v>3587.3</v>
          </cell>
          <cell r="G113">
            <v>723</v>
          </cell>
          <cell r="H113">
            <v>2864</v>
          </cell>
          <cell r="I113">
            <v>86</v>
          </cell>
          <cell r="J113">
            <v>2.4</v>
          </cell>
          <cell r="K113">
            <v>33.299999999999997</v>
          </cell>
          <cell r="L113" t="str">
            <v xml:space="preserve">      </v>
          </cell>
          <cell r="M113" t="str">
            <v xml:space="preserve">     </v>
          </cell>
          <cell r="N113">
            <v>0</v>
          </cell>
          <cell r="O113">
            <v>20.2</v>
          </cell>
          <cell r="P113">
            <v>7.3</v>
          </cell>
          <cell r="Q113">
            <v>567</v>
          </cell>
          <cell r="R113">
            <v>90</v>
          </cell>
          <cell r="S113">
            <v>2.5099999999999998</v>
          </cell>
        </row>
        <row r="114">
          <cell r="A114" t="str">
            <v xml:space="preserve">375.00 06900000     </v>
          </cell>
          <cell r="B114">
            <v>47088</v>
          </cell>
          <cell r="C114">
            <v>55</v>
          </cell>
          <cell r="D114" t="str">
            <v xml:space="preserve">R1.5 </v>
          </cell>
          <cell r="E114">
            <v>0</v>
          </cell>
          <cell r="F114">
            <v>15114.18</v>
          </cell>
          <cell r="G114">
            <v>10051</v>
          </cell>
          <cell r="H114">
            <v>5063</v>
          </cell>
          <cell r="I114">
            <v>266</v>
          </cell>
          <cell r="J114">
            <v>1.76</v>
          </cell>
          <cell r="K114">
            <v>19</v>
          </cell>
          <cell r="L114" t="str">
            <v xml:space="preserve">      </v>
          </cell>
          <cell r="M114" t="str">
            <v xml:space="preserve">     </v>
          </cell>
          <cell r="N114">
            <v>0</v>
          </cell>
          <cell r="O114">
            <v>66.5</v>
          </cell>
          <cell r="P114">
            <v>24.2</v>
          </cell>
          <cell r="Q114">
            <v>7879</v>
          </cell>
          <cell r="R114">
            <v>380</v>
          </cell>
          <cell r="S114">
            <v>2.5099999999999998</v>
          </cell>
        </row>
        <row r="115">
          <cell r="A115" t="str">
            <v xml:space="preserve">375.00 06950000     </v>
          </cell>
          <cell r="B115">
            <v>52201</v>
          </cell>
          <cell r="C115">
            <v>55</v>
          </cell>
          <cell r="D115" t="str">
            <v xml:space="preserve">R1.5 </v>
          </cell>
          <cell r="E115">
            <v>0</v>
          </cell>
          <cell r="F115">
            <v>39815.870000000003</v>
          </cell>
          <cell r="G115">
            <v>11302</v>
          </cell>
          <cell r="H115">
            <v>28514</v>
          </cell>
          <cell r="I115">
            <v>922</v>
          </cell>
          <cell r="J115">
            <v>2.3199999999999998</v>
          </cell>
          <cell r="K115">
            <v>30.9</v>
          </cell>
          <cell r="L115" t="str">
            <v xml:space="preserve">      </v>
          </cell>
          <cell r="M115" t="str">
            <v xml:space="preserve">     </v>
          </cell>
          <cell r="N115">
            <v>0</v>
          </cell>
          <cell r="O115">
            <v>28.4</v>
          </cell>
          <cell r="P115">
            <v>10.3</v>
          </cell>
          <cell r="Q115">
            <v>8859</v>
          </cell>
          <cell r="R115">
            <v>999</v>
          </cell>
          <cell r="S115">
            <v>2.5099999999999998</v>
          </cell>
        </row>
        <row r="116">
          <cell r="A116" t="str">
            <v xml:space="preserve">375.00 06990000     </v>
          </cell>
          <cell r="B116">
            <v>43070</v>
          </cell>
          <cell r="C116">
            <v>55</v>
          </cell>
          <cell r="D116" t="str">
            <v xml:space="preserve">R1.5 </v>
          </cell>
          <cell r="E116">
            <v>0</v>
          </cell>
          <cell r="F116">
            <v>2760.33</v>
          </cell>
          <cell r="G116">
            <v>2657</v>
          </cell>
          <cell r="H116">
            <v>104</v>
          </cell>
          <cell r="I116">
            <v>11</v>
          </cell>
          <cell r="J116">
            <v>0.4</v>
          </cell>
          <cell r="K116">
            <v>9.5</v>
          </cell>
          <cell r="L116" t="str">
            <v xml:space="preserve">      </v>
          </cell>
          <cell r="M116" t="str">
            <v xml:space="preserve">     </v>
          </cell>
          <cell r="N116">
            <v>0</v>
          </cell>
          <cell r="O116">
            <v>96.3</v>
          </cell>
          <cell r="P116">
            <v>35.1</v>
          </cell>
          <cell r="Q116">
            <v>2083</v>
          </cell>
          <cell r="R116">
            <v>71</v>
          </cell>
          <cell r="S116">
            <v>2.57</v>
          </cell>
        </row>
        <row r="117">
          <cell r="A117" t="str">
            <v xml:space="preserve">375.00 09960000     </v>
          </cell>
          <cell r="B117">
            <v>42339</v>
          </cell>
          <cell r="C117">
            <v>55</v>
          </cell>
          <cell r="D117" t="str">
            <v xml:space="preserve">R1.5 </v>
          </cell>
          <cell r="E117">
            <v>0</v>
          </cell>
          <cell r="F117">
            <v>1696.47</v>
          </cell>
          <cell r="G117">
            <v>1850</v>
          </cell>
          <cell r="H117">
            <v>-154</v>
          </cell>
          <cell r="I117">
            <v>0</v>
          </cell>
          <cell r="J117">
            <v>0</v>
          </cell>
          <cell r="K117">
            <v>0</v>
          </cell>
          <cell r="L117" t="str">
            <v xml:space="preserve">      </v>
          </cell>
          <cell r="M117" t="str">
            <v xml:space="preserve">     </v>
          </cell>
          <cell r="N117">
            <v>0</v>
          </cell>
          <cell r="O117">
            <v>109</v>
          </cell>
          <cell r="P117">
            <v>55.3</v>
          </cell>
          <cell r="Q117">
            <v>1450</v>
          </cell>
          <cell r="R117">
            <v>34</v>
          </cell>
          <cell r="S117">
            <v>2</v>
          </cell>
        </row>
        <row r="118">
          <cell r="A118" t="str">
            <v xml:space="preserve">375.00 09990000     </v>
          </cell>
          <cell r="B118">
            <v>48183</v>
          </cell>
          <cell r="C118">
            <v>55</v>
          </cell>
          <cell r="D118" t="str">
            <v xml:space="preserve">R1.5 </v>
          </cell>
          <cell r="E118">
            <v>0</v>
          </cell>
          <cell r="F118">
            <v>54</v>
          </cell>
          <cell r="G118">
            <v>26</v>
          </cell>
          <cell r="H118">
            <v>28</v>
          </cell>
          <cell r="I118">
            <v>1</v>
          </cell>
          <cell r="J118">
            <v>1.85</v>
          </cell>
          <cell r="K118">
            <v>28</v>
          </cell>
          <cell r="L118" t="str">
            <v xml:space="preserve">      </v>
          </cell>
          <cell r="M118" t="str">
            <v xml:space="preserve">     </v>
          </cell>
          <cell r="N118">
            <v>0</v>
          </cell>
          <cell r="O118">
            <v>48.1</v>
          </cell>
          <cell r="P118">
            <v>15.3</v>
          </cell>
          <cell r="Q118">
            <v>20</v>
          </cell>
          <cell r="R118">
            <v>2</v>
          </cell>
          <cell r="S118">
            <v>3.7</v>
          </cell>
        </row>
        <row r="119">
          <cell r="A119">
            <v>376.1</v>
          </cell>
          <cell r="B119" t="str">
            <v xml:space="preserve">       </v>
          </cell>
          <cell r="C119">
            <v>47</v>
          </cell>
          <cell r="D119" t="str">
            <v xml:space="preserve">R4   </v>
          </cell>
          <cell r="E119">
            <v>0</v>
          </cell>
          <cell r="F119">
            <v>131567589.20999999</v>
          </cell>
          <cell r="G119">
            <v>29933096</v>
          </cell>
          <cell r="H119">
            <v>101634493</v>
          </cell>
          <cell r="I119">
            <v>2951057</v>
          </cell>
          <cell r="J119">
            <v>2.2400000000000002</v>
          </cell>
          <cell r="K119">
            <v>34.4</v>
          </cell>
          <cell r="L119" t="str">
            <v xml:space="preserve">      </v>
          </cell>
          <cell r="M119" t="str">
            <v xml:space="preserve">     </v>
          </cell>
          <cell r="N119">
            <v>0</v>
          </cell>
          <cell r="O119">
            <v>22.8</v>
          </cell>
          <cell r="P119">
            <v>12.4</v>
          </cell>
          <cell r="Q119">
            <v>34093267</v>
          </cell>
          <cell r="R119">
            <v>2802390</v>
          </cell>
          <cell r="S119">
            <v>2.13</v>
          </cell>
        </row>
        <row r="120">
          <cell r="A120">
            <v>376.2</v>
          </cell>
          <cell r="B120" t="str">
            <v xml:space="preserve">       </v>
          </cell>
          <cell r="C120">
            <v>70</v>
          </cell>
          <cell r="D120" t="str">
            <v xml:space="preserve">S0.5 </v>
          </cell>
          <cell r="E120">
            <v>0</v>
          </cell>
          <cell r="F120">
            <v>118021902.89</v>
          </cell>
          <cell r="G120">
            <v>29743063</v>
          </cell>
          <cell r="H120">
            <v>88278850</v>
          </cell>
          <cell r="I120">
            <v>1717056</v>
          </cell>
          <cell r="J120">
            <v>1.45</v>
          </cell>
          <cell r="K120">
            <v>51.4</v>
          </cell>
          <cell r="L120" t="str">
            <v xml:space="preserve">      </v>
          </cell>
          <cell r="M120" t="str">
            <v xml:space="preserve">     </v>
          </cell>
          <cell r="N120">
            <v>0</v>
          </cell>
          <cell r="O120">
            <v>25.2</v>
          </cell>
          <cell r="P120">
            <v>23.4</v>
          </cell>
          <cell r="Q120">
            <v>31068836</v>
          </cell>
          <cell r="R120">
            <v>1687713</v>
          </cell>
          <cell r="S120">
            <v>1.43</v>
          </cell>
        </row>
        <row r="121">
          <cell r="A121">
            <v>378</v>
          </cell>
          <cell r="B121" t="str">
            <v xml:space="preserve">       </v>
          </cell>
          <cell r="C121">
            <v>39</v>
          </cell>
          <cell r="D121" t="str">
            <v xml:space="preserve">R1   </v>
          </cell>
          <cell r="E121">
            <v>0</v>
          </cell>
          <cell r="F121">
            <v>11030945.01</v>
          </cell>
          <cell r="G121">
            <v>4354457</v>
          </cell>
          <cell r="H121">
            <v>6676491</v>
          </cell>
          <cell r="I121">
            <v>238596</v>
          </cell>
          <cell r="J121">
            <v>2.16</v>
          </cell>
          <cell r="K121">
            <v>28</v>
          </cell>
          <cell r="L121" t="str">
            <v xml:space="preserve">      </v>
          </cell>
          <cell r="M121" t="str">
            <v xml:space="preserve">     </v>
          </cell>
          <cell r="N121">
            <v>0</v>
          </cell>
          <cell r="O121">
            <v>39.5</v>
          </cell>
          <cell r="P121">
            <v>18.7</v>
          </cell>
          <cell r="Q121">
            <v>3529314</v>
          </cell>
          <cell r="R121">
            <v>282318</v>
          </cell>
          <cell r="S121">
            <v>2.56</v>
          </cell>
        </row>
        <row r="122">
          <cell r="A122">
            <v>379</v>
          </cell>
          <cell r="B122" t="str">
            <v xml:space="preserve">       </v>
          </cell>
          <cell r="C122">
            <v>40</v>
          </cell>
          <cell r="D122" t="str">
            <v xml:space="preserve">R2   </v>
          </cell>
          <cell r="E122">
            <v>0</v>
          </cell>
          <cell r="F122">
            <v>6204272.3399999999</v>
          </cell>
          <cell r="G122">
            <v>2136915</v>
          </cell>
          <cell r="H122">
            <v>4067356</v>
          </cell>
          <cell r="I122">
            <v>136634</v>
          </cell>
          <cell r="J122">
            <v>2.2000000000000002</v>
          </cell>
          <cell r="K122">
            <v>29.8</v>
          </cell>
          <cell r="L122" t="str">
            <v xml:space="preserve">      </v>
          </cell>
          <cell r="M122" t="str">
            <v xml:space="preserve">     </v>
          </cell>
          <cell r="N122">
            <v>0</v>
          </cell>
          <cell r="O122">
            <v>34.4</v>
          </cell>
          <cell r="P122">
            <v>14.1</v>
          </cell>
          <cell r="Q122">
            <v>1778455</v>
          </cell>
          <cell r="R122">
            <v>155107</v>
          </cell>
          <cell r="S122">
            <v>2.5</v>
          </cell>
        </row>
        <row r="123">
          <cell r="A123">
            <v>380.1</v>
          </cell>
          <cell r="B123" t="str">
            <v xml:space="preserve">       </v>
          </cell>
          <cell r="C123">
            <v>34</v>
          </cell>
          <cell r="D123" t="str">
            <v xml:space="preserve">R4   </v>
          </cell>
          <cell r="E123">
            <v>0</v>
          </cell>
          <cell r="F123">
            <v>145365575.44</v>
          </cell>
          <cell r="G123">
            <v>52561237</v>
          </cell>
          <cell r="H123">
            <v>92804337</v>
          </cell>
          <cell r="I123">
            <v>4289927</v>
          </cell>
          <cell r="J123">
            <v>2.95</v>
          </cell>
          <cell r="K123">
            <v>21.6</v>
          </cell>
          <cell r="L123" t="str">
            <v xml:space="preserve">      </v>
          </cell>
          <cell r="M123" t="str">
            <v xml:space="preserve">     </v>
          </cell>
          <cell r="N123">
            <v>0</v>
          </cell>
          <cell r="O123">
            <v>36.200000000000003</v>
          </cell>
          <cell r="P123">
            <v>13</v>
          </cell>
          <cell r="Q123">
            <v>52739783</v>
          </cell>
          <cell r="R123">
            <v>4273748</v>
          </cell>
          <cell r="S123">
            <v>2.94</v>
          </cell>
        </row>
        <row r="124">
          <cell r="A124">
            <v>380.2</v>
          </cell>
          <cell r="B124" t="str">
            <v xml:space="preserve">       </v>
          </cell>
          <cell r="C124">
            <v>45</v>
          </cell>
          <cell r="D124" t="str">
            <v xml:space="preserve">R1   </v>
          </cell>
          <cell r="E124">
            <v>0</v>
          </cell>
          <cell r="F124">
            <v>16464111.220000001</v>
          </cell>
          <cell r="G124">
            <v>8874429</v>
          </cell>
          <cell r="H124">
            <v>7589686</v>
          </cell>
          <cell r="I124">
            <v>283185</v>
          </cell>
          <cell r="J124">
            <v>1.72</v>
          </cell>
          <cell r="K124">
            <v>26.8</v>
          </cell>
          <cell r="L124" t="str">
            <v xml:space="preserve">      </v>
          </cell>
          <cell r="M124" t="str">
            <v xml:space="preserve">     </v>
          </cell>
          <cell r="N124">
            <v>0</v>
          </cell>
          <cell r="O124">
            <v>53.9</v>
          </cell>
          <cell r="P124">
            <v>31.4</v>
          </cell>
          <cell r="Q124">
            <v>7413410</v>
          </cell>
          <cell r="R124">
            <v>364890</v>
          </cell>
          <cell r="S124">
            <v>2.2200000000000002</v>
          </cell>
        </row>
        <row r="125">
          <cell r="A125">
            <v>381</v>
          </cell>
          <cell r="B125" t="str">
            <v xml:space="preserve">       </v>
          </cell>
          <cell r="C125">
            <v>34</v>
          </cell>
          <cell r="D125" t="str">
            <v xml:space="preserve">S1.5 </v>
          </cell>
          <cell r="E125">
            <v>0</v>
          </cell>
          <cell r="F125">
            <v>35712973.770000003</v>
          </cell>
          <cell r="G125">
            <v>14531269</v>
          </cell>
          <cell r="H125">
            <v>21181706</v>
          </cell>
          <cell r="I125">
            <v>955526</v>
          </cell>
          <cell r="J125">
            <v>2.68</v>
          </cell>
          <cell r="K125">
            <v>22.2</v>
          </cell>
          <cell r="L125" t="str">
            <v xml:space="preserve">      </v>
          </cell>
          <cell r="M125" t="str">
            <v xml:space="preserve">     </v>
          </cell>
          <cell r="N125">
            <v>0</v>
          </cell>
          <cell r="O125">
            <v>40.700000000000003</v>
          </cell>
          <cell r="P125">
            <v>15.5</v>
          </cell>
          <cell r="Q125">
            <v>13242257</v>
          </cell>
          <cell r="R125">
            <v>1049960</v>
          </cell>
          <cell r="S125">
            <v>2.94</v>
          </cell>
        </row>
        <row r="126">
          <cell r="A126">
            <v>381.1</v>
          </cell>
          <cell r="B126" t="str">
            <v xml:space="preserve">       </v>
          </cell>
          <cell r="C126">
            <v>15</v>
          </cell>
          <cell r="D126" t="str">
            <v xml:space="preserve">R3   </v>
          </cell>
          <cell r="E126">
            <v>0</v>
          </cell>
          <cell r="F126">
            <v>9761839.5199999996</v>
          </cell>
          <cell r="G126">
            <v>1307492</v>
          </cell>
          <cell r="H126">
            <v>8454346</v>
          </cell>
          <cell r="I126">
            <v>730746</v>
          </cell>
          <cell r="J126">
            <v>7.49</v>
          </cell>
          <cell r="K126">
            <v>11.6</v>
          </cell>
          <cell r="L126" t="str">
            <v xml:space="preserve">      </v>
          </cell>
          <cell r="M126" t="str">
            <v xml:space="preserve">     </v>
          </cell>
          <cell r="N126">
            <v>0</v>
          </cell>
          <cell r="O126">
            <v>13.4</v>
          </cell>
          <cell r="P126">
            <v>3.4</v>
          </cell>
          <cell r="Q126">
            <v>2136302</v>
          </cell>
          <cell r="R126">
            <v>651115</v>
          </cell>
          <cell r="S126">
            <v>6.67</v>
          </cell>
        </row>
        <row r="127">
          <cell r="A127">
            <v>383</v>
          </cell>
          <cell r="B127" t="str">
            <v xml:space="preserve">       </v>
          </cell>
          <cell r="C127">
            <v>35</v>
          </cell>
          <cell r="D127" t="str">
            <v xml:space="preserve">R4   </v>
          </cell>
          <cell r="E127">
            <v>0</v>
          </cell>
          <cell r="F127">
            <v>2582869.1</v>
          </cell>
          <cell r="G127">
            <v>1293957</v>
          </cell>
          <cell r="H127">
            <v>1288913</v>
          </cell>
          <cell r="I127">
            <v>53723</v>
          </cell>
          <cell r="J127">
            <v>2.08</v>
          </cell>
          <cell r="K127">
            <v>24</v>
          </cell>
          <cell r="L127" t="str">
            <v xml:space="preserve">      </v>
          </cell>
          <cell r="M127" t="str">
            <v xml:space="preserve">     </v>
          </cell>
          <cell r="N127">
            <v>0</v>
          </cell>
          <cell r="O127">
            <v>50.1</v>
          </cell>
          <cell r="P127">
            <v>17.3</v>
          </cell>
          <cell r="Q127">
            <v>1132586</v>
          </cell>
          <cell r="R127">
            <v>72880</v>
          </cell>
          <cell r="S127">
            <v>2.82</v>
          </cell>
        </row>
        <row r="128">
          <cell r="A128">
            <v>384</v>
          </cell>
          <cell r="B128" t="str">
            <v xml:space="preserve">       </v>
          </cell>
          <cell r="C128">
            <v>35</v>
          </cell>
          <cell r="D128" t="str">
            <v xml:space="preserve">R4   </v>
          </cell>
          <cell r="E128">
            <v>0</v>
          </cell>
          <cell r="F128">
            <v>2744905.77</v>
          </cell>
          <cell r="G128">
            <v>1710224</v>
          </cell>
          <cell r="H128">
            <v>1034683</v>
          </cell>
          <cell r="I128">
            <v>45273</v>
          </cell>
          <cell r="J128">
            <v>1.65</v>
          </cell>
          <cell r="K128">
            <v>22.9</v>
          </cell>
          <cell r="L128" t="str">
            <v xml:space="preserve">      </v>
          </cell>
          <cell r="M128" t="str">
            <v xml:space="preserve">     </v>
          </cell>
          <cell r="N128">
            <v>0</v>
          </cell>
          <cell r="O128">
            <v>62.3</v>
          </cell>
          <cell r="P128">
            <v>21.2</v>
          </cell>
          <cell r="Q128">
            <v>1468388</v>
          </cell>
          <cell r="R128">
            <v>78504</v>
          </cell>
          <cell r="S128">
            <v>2.86</v>
          </cell>
        </row>
        <row r="129">
          <cell r="A129">
            <v>385</v>
          </cell>
          <cell r="B129" t="str">
            <v xml:space="preserve">       </v>
          </cell>
          <cell r="C129">
            <v>35</v>
          </cell>
          <cell r="D129" t="str">
            <v xml:space="preserve">R3   </v>
          </cell>
          <cell r="E129">
            <v>0</v>
          </cell>
          <cell r="F129">
            <v>4832314.5599999996</v>
          </cell>
          <cell r="G129">
            <v>3386690</v>
          </cell>
          <cell r="H129">
            <v>1445624</v>
          </cell>
          <cell r="I129">
            <v>100220</v>
          </cell>
          <cell r="J129">
            <v>2.0699999999999998</v>
          </cell>
          <cell r="K129">
            <v>14.4</v>
          </cell>
          <cell r="L129" t="str">
            <v xml:space="preserve">      </v>
          </cell>
          <cell r="M129" t="str">
            <v xml:space="preserve">     </v>
          </cell>
          <cell r="N129">
            <v>0</v>
          </cell>
          <cell r="O129">
            <v>70.099999999999994</v>
          </cell>
          <cell r="P129">
            <v>27.8</v>
          </cell>
          <cell r="Q129">
            <v>3113160</v>
          </cell>
          <cell r="R129">
            <v>138204</v>
          </cell>
          <cell r="S129">
            <v>2.86</v>
          </cell>
        </row>
        <row r="130">
          <cell r="A130">
            <v>387</v>
          </cell>
          <cell r="B130" t="str">
            <v xml:space="preserve">       </v>
          </cell>
          <cell r="C130">
            <v>29</v>
          </cell>
          <cell r="D130" t="str">
            <v xml:space="preserve">L2   </v>
          </cell>
          <cell r="E130">
            <v>0</v>
          </cell>
          <cell r="F130">
            <v>32249.86</v>
          </cell>
          <cell r="G130">
            <v>30506</v>
          </cell>
          <cell r="H130">
            <v>1745</v>
          </cell>
          <cell r="I130">
            <v>119</v>
          </cell>
          <cell r="J130">
            <v>0.37</v>
          </cell>
          <cell r="K130">
            <v>14.7</v>
          </cell>
          <cell r="L130" t="str">
            <v xml:space="preserve">      </v>
          </cell>
          <cell r="M130" t="str">
            <v xml:space="preserve">     </v>
          </cell>
          <cell r="N130">
            <v>0</v>
          </cell>
          <cell r="O130">
            <v>94.6</v>
          </cell>
          <cell r="P130">
            <v>27.8</v>
          </cell>
          <cell r="Q130">
            <v>19143</v>
          </cell>
          <cell r="R130">
            <v>1113</v>
          </cell>
          <cell r="S130">
            <v>3.45</v>
          </cell>
        </row>
        <row r="131">
          <cell r="A131">
            <v>389.1</v>
          </cell>
          <cell r="B131" t="str">
            <v xml:space="preserve">       </v>
          </cell>
          <cell r="C131">
            <v>0</v>
          </cell>
          <cell r="D131" t="str">
            <v xml:space="preserve">ND   </v>
          </cell>
          <cell r="E131">
            <v>0</v>
          </cell>
          <cell r="F131">
            <v>759928.3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 t="str">
            <v xml:space="preserve">      </v>
          </cell>
          <cell r="M131" t="str">
            <v xml:space="preserve">     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A132" t="str">
            <v xml:space="preserve">390.00 00150000     </v>
          </cell>
          <cell r="B132">
            <v>42339</v>
          </cell>
          <cell r="C132">
            <v>60</v>
          </cell>
          <cell r="D132" t="str">
            <v xml:space="preserve">L0   </v>
          </cell>
          <cell r="E132">
            <v>0</v>
          </cell>
          <cell r="F132">
            <v>570263.12</v>
          </cell>
          <cell r="G132">
            <v>389586</v>
          </cell>
          <cell r="H132">
            <v>180675</v>
          </cell>
          <cell r="I132">
            <v>22810</v>
          </cell>
          <cell r="J132">
            <v>4</v>
          </cell>
          <cell r="K132">
            <v>7.9</v>
          </cell>
          <cell r="L132" t="str">
            <v xml:space="preserve">      </v>
          </cell>
          <cell r="M132" t="str">
            <v xml:space="preserve">     </v>
          </cell>
          <cell r="N132">
            <v>0</v>
          </cell>
          <cell r="O132">
            <v>68.3</v>
          </cell>
          <cell r="P132">
            <v>23.3</v>
          </cell>
          <cell r="Q132">
            <v>359707</v>
          </cell>
          <cell r="R132">
            <v>26630</v>
          </cell>
          <cell r="S132">
            <v>4.67</v>
          </cell>
        </row>
        <row r="133">
          <cell r="A133" t="str">
            <v xml:space="preserve">390.00 00610000     </v>
          </cell>
          <cell r="B133">
            <v>45992</v>
          </cell>
          <cell r="C133">
            <v>60</v>
          </cell>
          <cell r="D133" t="str">
            <v xml:space="preserve">L0   </v>
          </cell>
          <cell r="E133">
            <v>0</v>
          </cell>
          <cell r="F133">
            <v>217873.47</v>
          </cell>
          <cell r="G133">
            <v>124887</v>
          </cell>
          <cell r="H133">
            <v>92987</v>
          </cell>
          <cell r="I133">
            <v>5745</v>
          </cell>
          <cell r="J133">
            <v>2.64</v>
          </cell>
          <cell r="K133">
            <v>16.2</v>
          </cell>
          <cell r="L133" t="str">
            <v xml:space="preserve">      </v>
          </cell>
          <cell r="M133" t="str">
            <v xml:space="preserve">     </v>
          </cell>
          <cell r="N133">
            <v>0</v>
          </cell>
          <cell r="O133">
            <v>57.3</v>
          </cell>
          <cell r="P133">
            <v>26</v>
          </cell>
          <cell r="Q133">
            <v>115309</v>
          </cell>
          <cell r="R133">
            <v>6345</v>
          </cell>
          <cell r="S133">
            <v>2.91</v>
          </cell>
        </row>
        <row r="134">
          <cell r="A134" t="str">
            <v xml:space="preserve">390.00 00770000     </v>
          </cell>
          <cell r="B134">
            <v>46357</v>
          </cell>
          <cell r="C134">
            <v>60</v>
          </cell>
          <cell r="D134" t="str">
            <v xml:space="preserve">L0   </v>
          </cell>
          <cell r="E134">
            <v>0</v>
          </cell>
          <cell r="F134">
            <v>263104.69</v>
          </cell>
          <cell r="G134">
            <v>137688</v>
          </cell>
          <cell r="H134">
            <v>125419</v>
          </cell>
          <cell r="I134">
            <v>7353</v>
          </cell>
          <cell r="J134">
            <v>2.79</v>
          </cell>
          <cell r="K134">
            <v>17.100000000000001</v>
          </cell>
          <cell r="L134" t="str">
            <v xml:space="preserve">      </v>
          </cell>
          <cell r="M134" t="str">
            <v xml:space="preserve">     </v>
          </cell>
          <cell r="N134">
            <v>0</v>
          </cell>
          <cell r="O134">
            <v>52.3</v>
          </cell>
          <cell r="P134">
            <v>27.7</v>
          </cell>
          <cell r="Q134">
            <v>127128</v>
          </cell>
          <cell r="R134">
            <v>7993</v>
          </cell>
          <cell r="S134">
            <v>3.04</v>
          </cell>
        </row>
        <row r="135">
          <cell r="A135" t="str">
            <v xml:space="preserve">390.00 00930000     </v>
          </cell>
          <cell r="B135">
            <v>50375</v>
          </cell>
          <cell r="C135">
            <v>60</v>
          </cell>
          <cell r="D135" t="str">
            <v xml:space="preserve">L0   </v>
          </cell>
          <cell r="E135">
            <v>0</v>
          </cell>
          <cell r="F135">
            <v>8778.32</v>
          </cell>
          <cell r="G135">
            <v>3615</v>
          </cell>
          <cell r="H135">
            <v>5163</v>
          </cell>
          <cell r="I135">
            <v>209</v>
          </cell>
          <cell r="J135">
            <v>2.38</v>
          </cell>
          <cell r="K135">
            <v>24.7</v>
          </cell>
          <cell r="L135" t="str">
            <v xml:space="preserve">      </v>
          </cell>
          <cell r="M135" t="str">
            <v xml:space="preserve">     </v>
          </cell>
          <cell r="N135">
            <v>0</v>
          </cell>
          <cell r="O135">
            <v>41.2</v>
          </cell>
          <cell r="P135">
            <v>20.3</v>
          </cell>
          <cell r="Q135">
            <v>3338</v>
          </cell>
          <cell r="R135">
            <v>220</v>
          </cell>
          <cell r="S135">
            <v>2.5099999999999998</v>
          </cell>
        </row>
        <row r="136">
          <cell r="A136" t="str">
            <v xml:space="preserve">390.00 00970000     </v>
          </cell>
          <cell r="B136">
            <v>53662</v>
          </cell>
          <cell r="C136">
            <v>60</v>
          </cell>
          <cell r="D136" t="str">
            <v xml:space="preserve">L0   </v>
          </cell>
          <cell r="E136">
            <v>0</v>
          </cell>
          <cell r="F136">
            <v>1937</v>
          </cell>
          <cell r="G136">
            <v>461</v>
          </cell>
          <cell r="H136">
            <v>1476</v>
          </cell>
          <cell r="I136">
            <v>47</v>
          </cell>
          <cell r="J136">
            <v>2.4300000000000002</v>
          </cell>
          <cell r="K136">
            <v>31.4</v>
          </cell>
          <cell r="L136" t="str">
            <v xml:space="preserve">      </v>
          </cell>
          <cell r="M136" t="str">
            <v xml:space="preserve">     </v>
          </cell>
          <cell r="N136">
            <v>0</v>
          </cell>
          <cell r="O136">
            <v>23.8</v>
          </cell>
          <cell r="P136">
            <v>11.3</v>
          </cell>
          <cell r="Q136">
            <v>426</v>
          </cell>
          <cell r="R136">
            <v>49</v>
          </cell>
          <cell r="S136">
            <v>2.5299999999999998</v>
          </cell>
        </row>
        <row r="137">
          <cell r="A137" t="str">
            <v xml:space="preserve">390.00 00990000     </v>
          </cell>
          <cell r="B137">
            <v>54027</v>
          </cell>
          <cell r="C137">
            <v>60</v>
          </cell>
          <cell r="D137" t="str">
            <v xml:space="preserve">L0   </v>
          </cell>
          <cell r="E137">
            <v>0</v>
          </cell>
          <cell r="F137">
            <v>18121.650000000001</v>
          </cell>
          <cell r="G137">
            <v>3963</v>
          </cell>
          <cell r="H137">
            <v>14159</v>
          </cell>
          <cell r="I137">
            <v>445</v>
          </cell>
          <cell r="J137">
            <v>2.46</v>
          </cell>
          <cell r="K137">
            <v>31.8</v>
          </cell>
          <cell r="L137" t="str">
            <v xml:space="preserve">      </v>
          </cell>
          <cell r="M137" t="str">
            <v xml:space="preserve">     </v>
          </cell>
          <cell r="N137">
            <v>0</v>
          </cell>
          <cell r="O137">
            <v>21.9</v>
          </cell>
          <cell r="P137">
            <v>10.3</v>
          </cell>
          <cell r="Q137">
            <v>3659</v>
          </cell>
          <cell r="R137">
            <v>455</v>
          </cell>
          <cell r="S137">
            <v>2.5099999999999998</v>
          </cell>
        </row>
        <row r="138">
          <cell r="A138" t="str">
            <v xml:space="preserve">390.00 02080000     </v>
          </cell>
          <cell r="B138">
            <v>54027</v>
          </cell>
          <cell r="C138">
            <v>60</v>
          </cell>
          <cell r="D138" t="str">
            <v xml:space="preserve">L0   </v>
          </cell>
          <cell r="E138">
            <v>0</v>
          </cell>
          <cell r="F138">
            <v>548498.22</v>
          </cell>
          <cell r="G138">
            <v>45192</v>
          </cell>
          <cell r="H138">
            <v>503308</v>
          </cell>
          <cell r="I138">
            <v>15175</v>
          </cell>
          <cell r="J138">
            <v>2.77</v>
          </cell>
          <cell r="K138">
            <v>33.200000000000003</v>
          </cell>
          <cell r="L138" t="str">
            <v xml:space="preserve">      </v>
          </cell>
          <cell r="M138" t="str">
            <v xml:space="preserve">     </v>
          </cell>
          <cell r="N138">
            <v>0</v>
          </cell>
          <cell r="O138">
            <v>8.1999999999999993</v>
          </cell>
          <cell r="P138">
            <v>4.9000000000000004</v>
          </cell>
          <cell r="Q138">
            <v>41726</v>
          </cell>
          <cell r="R138">
            <v>15300</v>
          </cell>
          <cell r="S138">
            <v>2.79</v>
          </cell>
        </row>
        <row r="139">
          <cell r="A139" t="str">
            <v xml:space="preserve">390.00 02090000     </v>
          </cell>
          <cell r="B139">
            <v>52566</v>
          </cell>
          <cell r="C139">
            <v>60</v>
          </cell>
          <cell r="D139" t="str">
            <v xml:space="preserve">L0   </v>
          </cell>
          <cell r="E139">
            <v>0</v>
          </cell>
          <cell r="F139">
            <v>550642.68000000005</v>
          </cell>
          <cell r="G139">
            <v>164970</v>
          </cell>
          <cell r="H139">
            <v>385671</v>
          </cell>
          <cell r="I139">
            <v>13317</v>
          </cell>
          <cell r="J139">
            <v>2.42</v>
          </cell>
          <cell r="K139">
            <v>29</v>
          </cell>
          <cell r="L139" t="str">
            <v xml:space="preserve">      </v>
          </cell>
          <cell r="M139" t="str">
            <v xml:space="preserve">     </v>
          </cell>
          <cell r="N139">
            <v>0</v>
          </cell>
          <cell r="O139">
            <v>30</v>
          </cell>
          <cell r="P139">
            <v>18.5</v>
          </cell>
          <cell r="Q139">
            <v>152318</v>
          </cell>
          <cell r="R139">
            <v>13774</v>
          </cell>
          <cell r="S139">
            <v>2.5</v>
          </cell>
        </row>
        <row r="140">
          <cell r="A140" t="str">
            <v xml:space="preserve">390.00 02100000     </v>
          </cell>
          <cell r="B140">
            <v>40513</v>
          </cell>
          <cell r="C140">
            <v>60</v>
          </cell>
          <cell r="D140" t="str">
            <v xml:space="preserve">L0   </v>
          </cell>
          <cell r="E140">
            <v>0</v>
          </cell>
          <cell r="F140">
            <v>19314.439999999999</v>
          </cell>
          <cell r="G140">
            <v>17962</v>
          </cell>
          <cell r="H140">
            <v>1352</v>
          </cell>
          <cell r="I140">
            <v>424</v>
          </cell>
          <cell r="J140">
            <v>2.2000000000000002</v>
          </cell>
          <cell r="K140">
            <v>3.2</v>
          </cell>
          <cell r="L140" t="str">
            <v xml:space="preserve">      </v>
          </cell>
          <cell r="M140" t="str">
            <v xml:space="preserve">     </v>
          </cell>
          <cell r="N140">
            <v>0</v>
          </cell>
          <cell r="O140">
            <v>93</v>
          </cell>
          <cell r="P140">
            <v>27.8</v>
          </cell>
          <cell r="Q140">
            <v>16584</v>
          </cell>
          <cell r="R140">
            <v>856</v>
          </cell>
          <cell r="S140">
            <v>4.43</v>
          </cell>
        </row>
        <row r="141">
          <cell r="A141" t="str">
            <v xml:space="preserve">390.00 02110000     </v>
          </cell>
          <cell r="B141">
            <v>51105</v>
          </cell>
          <cell r="C141">
            <v>60</v>
          </cell>
          <cell r="D141" t="str">
            <v xml:space="preserve">L0   </v>
          </cell>
          <cell r="E141">
            <v>0</v>
          </cell>
          <cell r="F141">
            <v>284469.24</v>
          </cell>
          <cell r="G141">
            <v>81624</v>
          </cell>
          <cell r="H141">
            <v>202846</v>
          </cell>
          <cell r="I141">
            <v>7585</v>
          </cell>
          <cell r="J141">
            <v>2.67</v>
          </cell>
          <cell r="K141">
            <v>26.7</v>
          </cell>
          <cell r="L141" t="str">
            <v xml:space="preserve">      </v>
          </cell>
          <cell r="M141" t="str">
            <v xml:space="preserve">     </v>
          </cell>
          <cell r="N141">
            <v>0</v>
          </cell>
          <cell r="O141">
            <v>28.7</v>
          </cell>
          <cell r="P141">
            <v>13</v>
          </cell>
          <cell r="Q141">
            <v>75364</v>
          </cell>
          <cell r="R141">
            <v>7824</v>
          </cell>
          <cell r="S141">
            <v>2.75</v>
          </cell>
        </row>
        <row r="142">
          <cell r="A142" t="str">
            <v xml:space="preserve">390.00 02120000     </v>
          </cell>
          <cell r="B142">
            <v>54758</v>
          </cell>
          <cell r="C142">
            <v>60</v>
          </cell>
          <cell r="D142" t="str">
            <v xml:space="preserve">L0   </v>
          </cell>
          <cell r="E142">
            <v>0</v>
          </cell>
          <cell r="F142">
            <v>168.5</v>
          </cell>
          <cell r="G142">
            <v>88</v>
          </cell>
          <cell r="H142">
            <v>81</v>
          </cell>
          <cell r="I142">
            <v>3</v>
          </cell>
          <cell r="J142">
            <v>1.78</v>
          </cell>
          <cell r="K142">
            <v>27</v>
          </cell>
          <cell r="L142" t="str">
            <v xml:space="preserve">      </v>
          </cell>
          <cell r="M142" t="str">
            <v xml:space="preserve">     </v>
          </cell>
          <cell r="N142">
            <v>0</v>
          </cell>
          <cell r="O142">
            <v>52.2</v>
          </cell>
          <cell r="P142">
            <v>47.3</v>
          </cell>
          <cell r="Q142">
            <v>81</v>
          </cell>
          <cell r="R142">
            <v>3</v>
          </cell>
          <cell r="S142">
            <v>1.78</v>
          </cell>
        </row>
        <row r="143">
          <cell r="A143" t="str">
            <v xml:space="preserve">390.00 02130000     </v>
          </cell>
          <cell r="B143">
            <v>54393</v>
          </cell>
          <cell r="C143">
            <v>60</v>
          </cell>
          <cell r="D143" t="str">
            <v xml:space="preserve">L0   </v>
          </cell>
          <cell r="E143">
            <v>0</v>
          </cell>
          <cell r="F143">
            <v>1204405.53</v>
          </cell>
          <cell r="G143">
            <v>356873</v>
          </cell>
          <cell r="H143">
            <v>847531</v>
          </cell>
          <cell r="I143">
            <v>26848</v>
          </cell>
          <cell r="J143">
            <v>2.23</v>
          </cell>
          <cell r="K143">
            <v>31.6</v>
          </cell>
          <cell r="L143" t="str">
            <v xml:space="preserve">      </v>
          </cell>
          <cell r="M143" t="str">
            <v xml:space="preserve">     </v>
          </cell>
          <cell r="N143">
            <v>0</v>
          </cell>
          <cell r="O143">
            <v>29.6</v>
          </cell>
          <cell r="P143">
            <v>20</v>
          </cell>
          <cell r="Q143">
            <v>331424</v>
          </cell>
          <cell r="R143">
            <v>27708</v>
          </cell>
          <cell r="S143">
            <v>2.2999999999999998</v>
          </cell>
        </row>
        <row r="144">
          <cell r="A144" t="str">
            <v xml:space="preserve">390.00 02140000     </v>
          </cell>
          <cell r="B144">
            <v>47088</v>
          </cell>
          <cell r="C144">
            <v>60</v>
          </cell>
          <cell r="D144" t="str">
            <v xml:space="preserve">L0   </v>
          </cell>
          <cell r="E144">
            <v>0</v>
          </cell>
          <cell r="F144">
            <v>98465.13</v>
          </cell>
          <cell r="G144">
            <v>55426</v>
          </cell>
          <cell r="H144">
            <v>43038</v>
          </cell>
          <cell r="I144">
            <v>2354</v>
          </cell>
          <cell r="J144">
            <v>2.39</v>
          </cell>
          <cell r="K144">
            <v>18.3</v>
          </cell>
          <cell r="L144" t="str">
            <v xml:space="preserve">      </v>
          </cell>
          <cell r="M144" t="str">
            <v xml:space="preserve">     </v>
          </cell>
          <cell r="N144">
            <v>0</v>
          </cell>
          <cell r="O144">
            <v>56.3</v>
          </cell>
          <cell r="P144">
            <v>27.6</v>
          </cell>
          <cell r="Q144">
            <v>51175</v>
          </cell>
          <cell r="R144">
            <v>2589</v>
          </cell>
          <cell r="S144">
            <v>2.63</v>
          </cell>
        </row>
        <row r="145">
          <cell r="A145" t="str">
            <v xml:space="preserve">390.00 02150000     </v>
          </cell>
          <cell r="B145">
            <v>52566</v>
          </cell>
          <cell r="C145">
            <v>60</v>
          </cell>
          <cell r="D145" t="str">
            <v xml:space="preserve">L0   </v>
          </cell>
          <cell r="E145">
            <v>0</v>
          </cell>
          <cell r="F145">
            <v>60556.78</v>
          </cell>
          <cell r="G145">
            <v>23243</v>
          </cell>
          <cell r="H145">
            <v>37314</v>
          </cell>
          <cell r="I145">
            <v>1328</v>
          </cell>
          <cell r="J145">
            <v>2.19</v>
          </cell>
          <cell r="K145">
            <v>28.1</v>
          </cell>
          <cell r="L145" t="str">
            <v xml:space="preserve">      </v>
          </cell>
          <cell r="M145" t="str">
            <v xml:space="preserve">     </v>
          </cell>
          <cell r="N145">
            <v>0</v>
          </cell>
          <cell r="O145">
            <v>38.4</v>
          </cell>
          <cell r="P145">
            <v>25</v>
          </cell>
          <cell r="Q145">
            <v>21460</v>
          </cell>
          <cell r="R145">
            <v>1394</v>
          </cell>
          <cell r="S145">
            <v>2.2999999999999998</v>
          </cell>
        </row>
        <row r="146">
          <cell r="A146" t="str">
            <v xml:space="preserve">390.00 02160000     </v>
          </cell>
          <cell r="B146">
            <v>45627</v>
          </cell>
          <cell r="C146">
            <v>60</v>
          </cell>
          <cell r="D146" t="str">
            <v xml:space="preserve">L0   </v>
          </cell>
          <cell r="E146">
            <v>0</v>
          </cell>
          <cell r="F146">
            <v>144812.95000000001</v>
          </cell>
          <cell r="G146">
            <v>73899</v>
          </cell>
          <cell r="H146">
            <v>70913</v>
          </cell>
          <cell r="I146">
            <v>4533</v>
          </cell>
          <cell r="J146">
            <v>3.13</v>
          </cell>
          <cell r="K146">
            <v>15.6</v>
          </cell>
          <cell r="L146" t="str">
            <v xml:space="preserve">      </v>
          </cell>
          <cell r="M146" t="str">
            <v xml:space="preserve">     </v>
          </cell>
          <cell r="N146">
            <v>0</v>
          </cell>
          <cell r="O146">
            <v>51</v>
          </cell>
          <cell r="P146">
            <v>23.2</v>
          </cell>
          <cell r="Q146">
            <v>68231</v>
          </cell>
          <cell r="R146">
            <v>4903</v>
          </cell>
          <cell r="S146">
            <v>3.39</v>
          </cell>
        </row>
        <row r="147">
          <cell r="A147" t="str">
            <v xml:space="preserve">390.00 02170000     </v>
          </cell>
          <cell r="B147">
            <v>53297</v>
          </cell>
          <cell r="C147">
            <v>60</v>
          </cell>
          <cell r="D147" t="str">
            <v xml:space="preserve">L0   </v>
          </cell>
          <cell r="E147">
            <v>0</v>
          </cell>
          <cell r="F147">
            <v>237949.2</v>
          </cell>
          <cell r="G147">
            <v>75127</v>
          </cell>
          <cell r="H147">
            <v>162823</v>
          </cell>
          <cell r="I147">
            <v>5454</v>
          </cell>
          <cell r="J147">
            <v>2.29</v>
          </cell>
          <cell r="K147">
            <v>29.9</v>
          </cell>
          <cell r="L147" t="str">
            <v xml:space="preserve">      </v>
          </cell>
          <cell r="M147" t="str">
            <v xml:space="preserve">     </v>
          </cell>
          <cell r="N147">
            <v>0</v>
          </cell>
          <cell r="O147">
            <v>31.6</v>
          </cell>
          <cell r="P147">
            <v>19.600000000000001</v>
          </cell>
          <cell r="Q147">
            <v>69365</v>
          </cell>
          <cell r="R147">
            <v>5654</v>
          </cell>
          <cell r="S147">
            <v>2.38</v>
          </cell>
        </row>
        <row r="148">
          <cell r="A148" t="str">
            <v xml:space="preserve">390.00 02180000     </v>
          </cell>
          <cell r="B148">
            <v>48183</v>
          </cell>
          <cell r="C148">
            <v>60</v>
          </cell>
          <cell r="D148" t="str">
            <v xml:space="preserve">L0   </v>
          </cell>
          <cell r="E148">
            <v>0</v>
          </cell>
          <cell r="F148">
            <v>62697.82</v>
          </cell>
          <cell r="G148">
            <v>33023</v>
          </cell>
          <cell r="H148">
            <v>29675</v>
          </cell>
          <cell r="I148">
            <v>1454</v>
          </cell>
          <cell r="J148">
            <v>2.3199999999999998</v>
          </cell>
          <cell r="K148">
            <v>20.399999999999999</v>
          </cell>
          <cell r="L148" t="str">
            <v xml:space="preserve">      </v>
          </cell>
          <cell r="M148" t="str">
            <v xml:space="preserve">     </v>
          </cell>
          <cell r="N148">
            <v>0</v>
          </cell>
          <cell r="O148">
            <v>52.7</v>
          </cell>
          <cell r="P148">
            <v>26.1</v>
          </cell>
          <cell r="Q148">
            <v>30490</v>
          </cell>
          <cell r="R148">
            <v>1580</v>
          </cell>
          <cell r="S148">
            <v>2.52</v>
          </cell>
        </row>
        <row r="149">
          <cell r="A149" t="str">
            <v xml:space="preserve">390.00 02190000     </v>
          </cell>
          <cell r="B149">
            <v>47818</v>
          </cell>
          <cell r="C149">
            <v>60</v>
          </cell>
          <cell r="D149" t="str">
            <v xml:space="preserve">L0   </v>
          </cell>
          <cell r="E149">
            <v>0</v>
          </cell>
          <cell r="F149">
            <v>32472.21</v>
          </cell>
          <cell r="G149">
            <v>17522</v>
          </cell>
          <cell r="H149">
            <v>14950</v>
          </cell>
          <cell r="I149">
            <v>758</v>
          </cell>
          <cell r="J149">
            <v>2.33</v>
          </cell>
          <cell r="K149">
            <v>19.7</v>
          </cell>
          <cell r="L149" t="str">
            <v xml:space="preserve">      </v>
          </cell>
          <cell r="M149" t="str">
            <v xml:space="preserve">     </v>
          </cell>
          <cell r="N149">
            <v>0</v>
          </cell>
          <cell r="O149">
            <v>54</v>
          </cell>
          <cell r="P149">
            <v>29.5</v>
          </cell>
          <cell r="Q149">
            <v>16178</v>
          </cell>
          <cell r="R149">
            <v>828</v>
          </cell>
          <cell r="S149">
            <v>2.5499999999999998</v>
          </cell>
        </row>
        <row r="150">
          <cell r="A150" t="str">
            <v xml:space="preserve">390.00 02210000     </v>
          </cell>
          <cell r="B150">
            <v>52201</v>
          </cell>
          <cell r="C150">
            <v>60</v>
          </cell>
          <cell r="D150" t="str">
            <v xml:space="preserve">L0   </v>
          </cell>
          <cell r="E150">
            <v>0</v>
          </cell>
          <cell r="F150">
            <v>187289.11</v>
          </cell>
          <cell r="G150">
            <v>64554</v>
          </cell>
          <cell r="H150">
            <v>122734</v>
          </cell>
          <cell r="I150">
            <v>4380</v>
          </cell>
          <cell r="J150">
            <v>2.34</v>
          </cell>
          <cell r="K150">
            <v>28</v>
          </cell>
          <cell r="L150" t="str">
            <v xml:space="preserve">      </v>
          </cell>
          <cell r="M150" t="str">
            <v xml:space="preserve">     </v>
          </cell>
          <cell r="N150">
            <v>0</v>
          </cell>
          <cell r="O150">
            <v>34.5</v>
          </cell>
          <cell r="P150">
            <v>19.899999999999999</v>
          </cell>
          <cell r="Q150">
            <v>59603</v>
          </cell>
          <cell r="R150">
            <v>4563</v>
          </cell>
          <cell r="S150">
            <v>2.44</v>
          </cell>
        </row>
        <row r="151">
          <cell r="A151" t="str">
            <v xml:space="preserve">390.00 02220000     </v>
          </cell>
          <cell r="B151">
            <v>53297</v>
          </cell>
          <cell r="C151">
            <v>60</v>
          </cell>
          <cell r="D151" t="str">
            <v xml:space="preserve">L0   </v>
          </cell>
          <cell r="E151">
            <v>0</v>
          </cell>
          <cell r="F151">
            <v>222071.81</v>
          </cell>
          <cell r="G151">
            <v>55134</v>
          </cell>
          <cell r="H151">
            <v>166938</v>
          </cell>
          <cell r="I151">
            <v>5477</v>
          </cell>
          <cell r="J151">
            <v>2.4700000000000002</v>
          </cell>
          <cell r="K151">
            <v>30.5</v>
          </cell>
          <cell r="L151" t="str">
            <v xml:space="preserve">      </v>
          </cell>
          <cell r="M151" t="str">
            <v xml:space="preserve">     </v>
          </cell>
          <cell r="N151">
            <v>0</v>
          </cell>
          <cell r="O151">
            <v>24.8</v>
          </cell>
          <cell r="P151">
            <v>14.8</v>
          </cell>
          <cell r="Q151">
            <v>50906</v>
          </cell>
          <cell r="R151">
            <v>5622</v>
          </cell>
          <cell r="S151">
            <v>2.5299999999999998</v>
          </cell>
        </row>
        <row r="152">
          <cell r="A152" t="str">
            <v xml:space="preserve">390.00 02250000     </v>
          </cell>
          <cell r="B152">
            <v>47088</v>
          </cell>
          <cell r="C152">
            <v>60</v>
          </cell>
          <cell r="D152" t="str">
            <v xml:space="preserve">L0   </v>
          </cell>
          <cell r="E152">
            <v>0</v>
          </cell>
          <cell r="F152">
            <v>95721.07</v>
          </cell>
          <cell r="G152">
            <v>60787</v>
          </cell>
          <cell r="H152">
            <v>34933</v>
          </cell>
          <cell r="I152">
            <v>1974</v>
          </cell>
          <cell r="J152">
            <v>2.06</v>
          </cell>
          <cell r="K152">
            <v>17.7</v>
          </cell>
          <cell r="L152" t="str">
            <v xml:space="preserve">      </v>
          </cell>
          <cell r="M152" t="str">
            <v xml:space="preserve">     </v>
          </cell>
          <cell r="N152">
            <v>0</v>
          </cell>
          <cell r="O152">
            <v>63.5</v>
          </cell>
          <cell r="P152">
            <v>47.6</v>
          </cell>
          <cell r="Q152">
            <v>56125</v>
          </cell>
          <cell r="R152">
            <v>2249</v>
          </cell>
          <cell r="S152">
            <v>2.35</v>
          </cell>
        </row>
        <row r="153">
          <cell r="A153" t="str">
            <v xml:space="preserve">390.00 04220000     </v>
          </cell>
          <cell r="B153">
            <v>50375</v>
          </cell>
          <cell r="C153">
            <v>60</v>
          </cell>
          <cell r="D153" t="str">
            <v xml:space="preserve">L0   </v>
          </cell>
          <cell r="E153">
            <v>0</v>
          </cell>
          <cell r="F153">
            <v>724070.87</v>
          </cell>
          <cell r="G153">
            <v>215331</v>
          </cell>
          <cell r="H153">
            <v>508741</v>
          </cell>
          <cell r="I153">
            <v>19961</v>
          </cell>
          <cell r="J153">
            <v>2.76</v>
          </cell>
          <cell r="K153">
            <v>25.5</v>
          </cell>
          <cell r="L153" t="str">
            <v xml:space="preserve">      </v>
          </cell>
          <cell r="M153" t="str">
            <v xml:space="preserve">     </v>
          </cell>
          <cell r="N153">
            <v>0</v>
          </cell>
          <cell r="O153">
            <v>29.7</v>
          </cell>
          <cell r="P153">
            <v>15.4</v>
          </cell>
          <cell r="Q153">
            <v>198817</v>
          </cell>
          <cell r="R153">
            <v>20630</v>
          </cell>
          <cell r="S153">
            <v>2.85</v>
          </cell>
        </row>
        <row r="154">
          <cell r="A154" t="str">
            <v xml:space="preserve">390.00 04230000     </v>
          </cell>
          <cell r="B154">
            <v>43070</v>
          </cell>
          <cell r="C154">
            <v>60</v>
          </cell>
          <cell r="D154" t="str">
            <v xml:space="preserve">L0   </v>
          </cell>
          <cell r="E154">
            <v>0</v>
          </cell>
          <cell r="F154">
            <v>305069.71000000002</v>
          </cell>
          <cell r="G154">
            <v>98397</v>
          </cell>
          <cell r="H154">
            <v>206672</v>
          </cell>
          <cell r="I154">
            <v>20950</v>
          </cell>
          <cell r="J154">
            <v>6.87</v>
          </cell>
          <cell r="K154">
            <v>9.9</v>
          </cell>
          <cell r="L154" t="str">
            <v xml:space="preserve">      </v>
          </cell>
          <cell r="M154" t="str">
            <v xml:space="preserve">     </v>
          </cell>
          <cell r="N154">
            <v>0</v>
          </cell>
          <cell r="O154">
            <v>32.299999999999997</v>
          </cell>
          <cell r="P154">
            <v>5.0999999999999996</v>
          </cell>
          <cell r="Q154">
            <v>90851</v>
          </cell>
          <cell r="R154">
            <v>21705</v>
          </cell>
          <cell r="S154">
            <v>7.11</v>
          </cell>
        </row>
        <row r="155">
          <cell r="A155" t="str">
            <v xml:space="preserve">390.00 04300000     </v>
          </cell>
          <cell r="B155">
            <v>42339</v>
          </cell>
          <cell r="C155">
            <v>60</v>
          </cell>
          <cell r="D155" t="str">
            <v xml:space="preserve">L0   </v>
          </cell>
          <cell r="E155">
            <v>0</v>
          </cell>
          <cell r="F155">
            <v>124009.96</v>
          </cell>
          <cell r="G155">
            <v>79334</v>
          </cell>
          <cell r="H155">
            <v>44676</v>
          </cell>
          <cell r="I155">
            <v>5639</v>
          </cell>
          <cell r="J155">
            <v>4.55</v>
          </cell>
          <cell r="K155">
            <v>7.9</v>
          </cell>
          <cell r="L155" t="str">
            <v xml:space="preserve">      </v>
          </cell>
          <cell r="M155" t="str">
            <v xml:space="preserve">     </v>
          </cell>
          <cell r="N155">
            <v>0</v>
          </cell>
          <cell r="O155">
            <v>64</v>
          </cell>
          <cell r="P155">
            <v>14.2</v>
          </cell>
          <cell r="Q155">
            <v>73250</v>
          </cell>
          <cell r="R155">
            <v>6409</v>
          </cell>
          <cell r="S155">
            <v>5.17</v>
          </cell>
        </row>
        <row r="156">
          <cell r="A156" t="str">
            <v xml:space="preserve">390.00 04440000     </v>
          </cell>
          <cell r="B156">
            <v>55488</v>
          </cell>
          <cell r="C156">
            <v>60</v>
          </cell>
          <cell r="D156" t="str">
            <v xml:space="preserve">L0   </v>
          </cell>
          <cell r="E156">
            <v>0</v>
          </cell>
          <cell r="F156">
            <v>349694.35</v>
          </cell>
          <cell r="G156">
            <v>39113</v>
          </cell>
          <cell r="H156">
            <v>310581</v>
          </cell>
          <cell r="I156">
            <v>8859</v>
          </cell>
          <cell r="J156">
            <v>2.5299999999999998</v>
          </cell>
          <cell r="K156">
            <v>35.1</v>
          </cell>
          <cell r="L156" t="str">
            <v xml:space="preserve">      </v>
          </cell>
          <cell r="M156" t="str">
            <v xml:space="preserve">     </v>
          </cell>
          <cell r="N156">
            <v>0</v>
          </cell>
          <cell r="O156">
            <v>11.2</v>
          </cell>
          <cell r="P156">
            <v>5.2</v>
          </cell>
          <cell r="Q156">
            <v>36989</v>
          </cell>
          <cell r="R156">
            <v>8916</v>
          </cell>
          <cell r="S156">
            <v>2.5499999999999998</v>
          </cell>
        </row>
        <row r="157">
          <cell r="A157" t="str">
            <v xml:space="preserve">390.00 04600000     </v>
          </cell>
          <cell r="B157">
            <v>54027</v>
          </cell>
          <cell r="C157">
            <v>60</v>
          </cell>
          <cell r="D157" t="str">
            <v xml:space="preserve">L0   </v>
          </cell>
          <cell r="E157">
            <v>0</v>
          </cell>
          <cell r="F157">
            <v>4620241.0199999996</v>
          </cell>
          <cell r="G157">
            <v>995843</v>
          </cell>
          <cell r="H157">
            <v>3624398</v>
          </cell>
          <cell r="I157">
            <v>113790</v>
          </cell>
          <cell r="J157">
            <v>2.46</v>
          </cell>
          <cell r="K157">
            <v>31.9</v>
          </cell>
          <cell r="L157" t="str">
            <v xml:space="preserve">      </v>
          </cell>
          <cell r="M157" t="str">
            <v xml:space="preserve">     </v>
          </cell>
          <cell r="N157">
            <v>0</v>
          </cell>
          <cell r="O157">
            <v>21.6</v>
          </cell>
          <cell r="P157">
            <v>10.1</v>
          </cell>
          <cell r="Q157">
            <v>919469</v>
          </cell>
          <cell r="R157">
            <v>116277</v>
          </cell>
          <cell r="S157">
            <v>2.52</v>
          </cell>
        </row>
        <row r="158">
          <cell r="A158" t="str">
            <v xml:space="preserve">390.00 04690000     </v>
          </cell>
          <cell r="B158">
            <v>53297</v>
          </cell>
          <cell r="C158">
            <v>60</v>
          </cell>
          <cell r="D158" t="str">
            <v xml:space="preserve">L0   </v>
          </cell>
          <cell r="E158">
            <v>0</v>
          </cell>
          <cell r="F158">
            <v>42245.59</v>
          </cell>
          <cell r="G158">
            <v>10465</v>
          </cell>
          <cell r="H158">
            <v>31781</v>
          </cell>
          <cell r="I158">
            <v>1043</v>
          </cell>
          <cell r="J158">
            <v>2.4700000000000002</v>
          </cell>
          <cell r="K158">
            <v>30.5</v>
          </cell>
          <cell r="L158" t="str">
            <v xml:space="preserve">      </v>
          </cell>
          <cell r="M158" t="str">
            <v xml:space="preserve">     </v>
          </cell>
          <cell r="N158">
            <v>0</v>
          </cell>
          <cell r="O158">
            <v>24.8</v>
          </cell>
          <cell r="P158">
            <v>11.6</v>
          </cell>
          <cell r="Q158">
            <v>9662</v>
          </cell>
          <cell r="R158">
            <v>1070</v>
          </cell>
          <cell r="S158">
            <v>2.5299999999999998</v>
          </cell>
        </row>
        <row r="159">
          <cell r="A159" t="str">
            <v xml:space="preserve">390.00 04700000     </v>
          </cell>
          <cell r="B159">
            <v>54758</v>
          </cell>
          <cell r="C159">
            <v>60</v>
          </cell>
          <cell r="D159" t="str">
            <v xml:space="preserve">L0   </v>
          </cell>
          <cell r="E159">
            <v>0</v>
          </cell>
          <cell r="F159">
            <v>223174.41</v>
          </cell>
          <cell r="G159">
            <v>42987</v>
          </cell>
          <cell r="H159">
            <v>180188</v>
          </cell>
          <cell r="I159">
            <v>5436</v>
          </cell>
          <cell r="J159">
            <v>2.44</v>
          </cell>
          <cell r="K159">
            <v>33.1</v>
          </cell>
          <cell r="L159" t="str">
            <v xml:space="preserve">      </v>
          </cell>
          <cell r="M159" t="str">
            <v xml:space="preserve">     </v>
          </cell>
          <cell r="N159">
            <v>0</v>
          </cell>
          <cell r="O159">
            <v>19.3</v>
          </cell>
          <cell r="P159">
            <v>9.1</v>
          </cell>
          <cell r="Q159">
            <v>39690</v>
          </cell>
          <cell r="R159">
            <v>5528</v>
          </cell>
          <cell r="S159">
            <v>2.48</v>
          </cell>
        </row>
        <row r="160">
          <cell r="A160" t="str">
            <v xml:space="preserve">390.00 04710000     </v>
          </cell>
          <cell r="B160">
            <v>54393</v>
          </cell>
          <cell r="C160">
            <v>60</v>
          </cell>
          <cell r="D160" t="str">
            <v xml:space="preserve">L0   </v>
          </cell>
          <cell r="E160">
            <v>0</v>
          </cell>
          <cell r="F160">
            <v>209019.8</v>
          </cell>
          <cell r="G160">
            <v>32583</v>
          </cell>
          <cell r="H160">
            <v>176437</v>
          </cell>
          <cell r="I160">
            <v>5352</v>
          </cell>
          <cell r="J160">
            <v>2.56</v>
          </cell>
          <cell r="K160">
            <v>33</v>
          </cell>
          <cell r="L160" t="str">
            <v xml:space="preserve">      </v>
          </cell>
          <cell r="M160" t="str">
            <v xml:space="preserve">     </v>
          </cell>
          <cell r="N160">
            <v>0</v>
          </cell>
          <cell r="O160">
            <v>15.6</v>
          </cell>
          <cell r="P160">
            <v>6.8</v>
          </cell>
          <cell r="Q160">
            <v>30084</v>
          </cell>
          <cell r="R160">
            <v>5433</v>
          </cell>
          <cell r="S160">
            <v>2.6</v>
          </cell>
        </row>
        <row r="161">
          <cell r="A161" t="str">
            <v xml:space="preserve">390.00 04720000     </v>
          </cell>
          <cell r="B161">
            <v>43800</v>
          </cell>
          <cell r="C161">
            <v>60</v>
          </cell>
          <cell r="D161" t="str">
            <v xml:space="preserve">L0   </v>
          </cell>
          <cell r="E161">
            <v>0</v>
          </cell>
          <cell r="F161">
            <v>315000</v>
          </cell>
          <cell r="G161">
            <v>128346</v>
          </cell>
          <cell r="H161">
            <v>186654</v>
          </cell>
          <cell r="I161">
            <v>16105</v>
          </cell>
          <cell r="J161">
            <v>5.1100000000000003</v>
          </cell>
          <cell r="K161">
            <v>11.6</v>
          </cell>
          <cell r="L161" t="str">
            <v xml:space="preserve">      </v>
          </cell>
          <cell r="M161" t="str">
            <v xml:space="preserve">     </v>
          </cell>
          <cell r="N161">
            <v>0</v>
          </cell>
          <cell r="O161">
            <v>40.700000000000003</v>
          </cell>
          <cell r="P161">
            <v>7.6</v>
          </cell>
          <cell r="Q161">
            <v>118503</v>
          </cell>
          <cell r="R161">
            <v>16947</v>
          </cell>
          <cell r="S161">
            <v>5.38</v>
          </cell>
        </row>
        <row r="162">
          <cell r="A162" t="str">
            <v xml:space="preserve">390.00 05250000     </v>
          </cell>
          <cell r="B162">
            <v>40513</v>
          </cell>
          <cell r="C162">
            <v>60</v>
          </cell>
          <cell r="D162" t="str">
            <v xml:space="preserve">L0   </v>
          </cell>
          <cell r="E162">
            <v>0</v>
          </cell>
          <cell r="F162">
            <v>233585.6</v>
          </cell>
          <cell r="G162">
            <v>225052</v>
          </cell>
          <cell r="H162">
            <v>8533</v>
          </cell>
          <cell r="I162">
            <v>2676</v>
          </cell>
          <cell r="J162">
            <v>1.1499999999999999</v>
          </cell>
          <cell r="K162">
            <v>3.2</v>
          </cell>
          <cell r="L162" t="str">
            <v xml:space="preserve">      </v>
          </cell>
          <cell r="M162" t="str">
            <v xml:space="preserve">     </v>
          </cell>
          <cell r="N162">
            <v>0</v>
          </cell>
          <cell r="O162">
            <v>96.3</v>
          </cell>
          <cell r="P162">
            <v>41</v>
          </cell>
          <cell r="Q162">
            <v>207792</v>
          </cell>
          <cell r="R162">
            <v>8130</v>
          </cell>
          <cell r="S162">
            <v>3.48</v>
          </cell>
        </row>
        <row r="163">
          <cell r="A163" t="str">
            <v xml:space="preserve">390.00 05870000     </v>
          </cell>
          <cell r="B163">
            <v>42339</v>
          </cell>
          <cell r="C163">
            <v>60</v>
          </cell>
          <cell r="D163" t="str">
            <v xml:space="preserve">L0   </v>
          </cell>
          <cell r="E163">
            <v>0</v>
          </cell>
          <cell r="F163">
            <v>7626.95</v>
          </cell>
          <cell r="G163">
            <v>4092</v>
          </cell>
          <cell r="H163">
            <v>3535</v>
          </cell>
          <cell r="I163">
            <v>443</v>
          </cell>
          <cell r="J163">
            <v>5.81</v>
          </cell>
          <cell r="K163">
            <v>8</v>
          </cell>
          <cell r="L163" t="str">
            <v xml:space="preserve">      </v>
          </cell>
          <cell r="M163" t="str">
            <v xml:space="preserve">     </v>
          </cell>
          <cell r="N163">
            <v>0</v>
          </cell>
          <cell r="O163">
            <v>53.7</v>
          </cell>
          <cell r="P163">
            <v>11.4</v>
          </cell>
          <cell r="Q163">
            <v>3778</v>
          </cell>
          <cell r="R163">
            <v>483</v>
          </cell>
          <cell r="S163">
            <v>6.33</v>
          </cell>
        </row>
        <row r="164">
          <cell r="A164" t="str">
            <v xml:space="preserve">390.00 06960000     </v>
          </cell>
          <cell r="B164">
            <v>46357</v>
          </cell>
          <cell r="C164">
            <v>60</v>
          </cell>
          <cell r="D164" t="str">
            <v xml:space="preserve">L0   </v>
          </cell>
          <cell r="E164">
            <v>0</v>
          </cell>
          <cell r="F164">
            <v>397177.34</v>
          </cell>
          <cell r="G164">
            <v>210330</v>
          </cell>
          <cell r="H164">
            <v>186848</v>
          </cell>
          <cell r="I164">
            <v>10946</v>
          </cell>
          <cell r="J164">
            <v>2.76</v>
          </cell>
          <cell r="K164">
            <v>17.100000000000001</v>
          </cell>
          <cell r="L164" t="str">
            <v xml:space="preserve">      </v>
          </cell>
          <cell r="M164" t="str">
            <v xml:space="preserve">     </v>
          </cell>
          <cell r="N164">
            <v>0</v>
          </cell>
          <cell r="O164">
            <v>53</v>
          </cell>
          <cell r="P164">
            <v>24.8</v>
          </cell>
          <cell r="Q164">
            <v>194199</v>
          </cell>
          <cell r="R164">
            <v>11917</v>
          </cell>
          <cell r="S164">
            <v>3</v>
          </cell>
        </row>
        <row r="165">
          <cell r="A165" t="str">
            <v xml:space="preserve">390.00 06970000     </v>
          </cell>
          <cell r="B165">
            <v>50740</v>
          </cell>
          <cell r="C165">
            <v>60</v>
          </cell>
          <cell r="D165" t="str">
            <v xml:space="preserve">L0   </v>
          </cell>
          <cell r="E165">
            <v>0</v>
          </cell>
          <cell r="F165">
            <v>150000</v>
          </cell>
          <cell r="G165">
            <v>58875</v>
          </cell>
          <cell r="H165">
            <v>91125</v>
          </cell>
          <cell r="I165">
            <v>3585</v>
          </cell>
          <cell r="J165">
            <v>2.39</v>
          </cell>
          <cell r="K165">
            <v>25.4</v>
          </cell>
          <cell r="L165" t="str">
            <v xml:space="preserve">      </v>
          </cell>
          <cell r="M165" t="str">
            <v xml:space="preserve">     </v>
          </cell>
          <cell r="N165">
            <v>0</v>
          </cell>
          <cell r="O165">
            <v>39.299999999999997</v>
          </cell>
          <cell r="P165">
            <v>19.3</v>
          </cell>
          <cell r="Q165">
            <v>54360</v>
          </cell>
          <cell r="R165">
            <v>3765</v>
          </cell>
          <cell r="S165">
            <v>2.5099999999999998</v>
          </cell>
        </row>
        <row r="166">
          <cell r="A166" t="str">
            <v xml:space="preserve">390.00 07000000     </v>
          </cell>
          <cell r="B166">
            <v>55854</v>
          </cell>
          <cell r="C166">
            <v>60</v>
          </cell>
          <cell r="D166" t="str">
            <v xml:space="preserve">L0   </v>
          </cell>
          <cell r="E166">
            <v>0</v>
          </cell>
          <cell r="F166">
            <v>1151107.71</v>
          </cell>
          <cell r="G166">
            <v>144308</v>
          </cell>
          <cell r="H166">
            <v>1006799</v>
          </cell>
          <cell r="I166">
            <v>28400</v>
          </cell>
          <cell r="J166">
            <v>2.4700000000000002</v>
          </cell>
          <cell r="K166">
            <v>35.5</v>
          </cell>
          <cell r="L166" t="str">
            <v xml:space="preserve">      </v>
          </cell>
          <cell r="M166" t="str">
            <v xml:space="preserve">     </v>
          </cell>
          <cell r="N166">
            <v>0</v>
          </cell>
          <cell r="O166">
            <v>12.5</v>
          </cell>
          <cell r="P166">
            <v>5.7</v>
          </cell>
          <cell r="Q166">
            <v>133241</v>
          </cell>
          <cell r="R166">
            <v>28700</v>
          </cell>
          <cell r="S166">
            <v>2.4900000000000002</v>
          </cell>
        </row>
        <row r="167">
          <cell r="A167" t="str">
            <v xml:space="preserve">390.00 07010000     </v>
          </cell>
          <cell r="B167">
            <v>55854</v>
          </cell>
          <cell r="C167">
            <v>60</v>
          </cell>
          <cell r="D167" t="str">
            <v xml:space="preserve">L0   </v>
          </cell>
          <cell r="E167">
            <v>0</v>
          </cell>
          <cell r="F167">
            <v>1769619.71</v>
          </cell>
          <cell r="G167">
            <v>223967</v>
          </cell>
          <cell r="H167">
            <v>1545652</v>
          </cell>
          <cell r="I167">
            <v>43619</v>
          </cell>
          <cell r="J167">
            <v>2.46</v>
          </cell>
          <cell r="K167">
            <v>35.4</v>
          </cell>
          <cell r="L167" t="str">
            <v xml:space="preserve">      </v>
          </cell>
          <cell r="M167" t="str">
            <v xml:space="preserve">     </v>
          </cell>
          <cell r="N167">
            <v>0</v>
          </cell>
          <cell r="O167">
            <v>12.7</v>
          </cell>
          <cell r="P167">
            <v>5.7</v>
          </cell>
          <cell r="Q167">
            <v>206790</v>
          </cell>
          <cell r="R167">
            <v>44079</v>
          </cell>
          <cell r="S167">
            <v>2.4900000000000002</v>
          </cell>
        </row>
        <row r="168">
          <cell r="A168" t="str">
            <v xml:space="preserve">390.00 07020000     </v>
          </cell>
          <cell r="B168">
            <v>56219</v>
          </cell>
          <cell r="C168">
            <v>60</v>
          </cell>
          <cell r="D168" t="str">
            <v xml:space="preserve">L0   </v>
          </cell>
          <cell r="E168">
            <v>0</v>
          </cell>
          <cell r="F168">
            <v>47616.79</v>
          </cell>
          <cell r="G168">
            <v>5074</v>
          </cell>
          <cell r="H168">
            <v>42543</v>
          </cell>
          <cell r="I168">
            <v>1176</v>
          </cell>
          <cell r="J168">
            <v>2.4700000000000002</v>
          </cell>
          <cell r="K168">
            <v>36.200000000000003</v>
          </cell>
          <cell r="L168" t="str">
            <v xml:space="preserve">      </v>
          </cell>
          <cell r="M168" t="str">
            <v xml:space="preserve">     </v>
          </cell>
          <cell r="N168">
            <v>0</v>
          </cell>
          <cell r="O168">
            <v>10.7</v>
          </cell>
          <cell r="P168">
            <v>4.8</v>
          </cell>
          <cell r="Q168">
            <v>4685</v>
          </cell>
          <cell r="R168">
            <v>1186</v>
          </cell>
          <cell r="S168">
            <v>2.4900000000000002</v>
          </cell>
        </row>
        <row r="169">
          <cell r="A169" t="str">
            <v xml:space="preserve">390.00 07030000     </v>
          </cell>
          <cell r="B169">
            <v>56219</v>
          </cell>
          <cell r="C169">
            <v>60</v>
          </cell>
          <cell r="D169" t="str">
            <v xml:space="preserve">L0   </v>
          </cell>
          <cell r="E169">
            <v>0</v>
          </cell>
          <cell r="F169">
            <v>54669.93</v>
          </cell>
          <cell r="G169">
            <v>5827</v>
          </cell>
          <cell r="H169">
            <v>48843</v>
          </cell>
          <cell r="I169">
            <v>1350</v>
          </cell>
          <cell r="J169">
            <v>2.4700000000000002</v>
          </cell>
          <cell r="K169">
            <v>36.200000000000003</v>
          </cell>
          <cell r="L169" t="str">
            <v xml:space="preserve">      </v>
          </cell>
          <cell r="M169" t="str">
            <v xml:space="preserve">     </v>
          </cell>
          <cell r="N169">
            <v>0</v>
          </cell>
          <cell r="O169">
            <v>10.7</v>
          </cell>
          <cell r="P169">
            <v>4.8</v>
          </cell>
          <cell r="Q169">
            <v>5380</v>
          </cell>
          <cell r="R169">
            <v>1361</v>
          </cell>
          <cell r="S169">
            <v>2.4900000000000002</v>
          </cell>
        </row>
        <row r="170">
          <cell r="A170" t="str">
            <v xml:space="preserve">390.00 07040000     </v>
          </cell>
          <cell r="B170">
            <v>55854</v>
          </cell>
          <cell r="C170">
            <v>60</v>
          </cell>
          <cell r="D170" t="str">
            <v xml:space="preserve">L0   </v>
          </cell>
          <cell r="E170">
            <v>0</v>
          </cell>
          <cell r="F170">
            <v>887321.48</v>
          </cell>
          <cell r="G170">
            <v>110047</v>
          </cell>
          <cell r="H170">
            <v>777274</v>
          </cell>
          <cell r="I170">
            <v>21916</v>
          </cell>
          <cell r="J170">
            <v>2.4700000000000002</v>
          </cell>
          <cell r="K170">
            <v>35.5</v>
          </cell>
          <cell r="L170" t="str">
            <v xml:space="preserve">      </v>
          </cell>
          <cell r="M170" t="str">
            <v xml:space="preserve">     </v>
          </cell>
          <cell r="N170">
            <v>0</v>
          </cell>
          <cell r="O170">
            <v>12.4</v>
          </cell>
          <cell r="P170">
            <v>5.6</v>
          </cell>
          <cell r="Q170">
            <v>101607</v>
          </cell>
          <cell r="R170">
            <v>22143</v>
          </cell>
          <cell r="S170">
            <v>2.5</v>
          </cell>
        </row>
        <row r="171">
          <cell r="A171" t="str">
            <v xml:space="preserve">390.00 07050000     </v>
          </cell>
          <cell r="B171">
            <v>46722</v>
          </cell>
          <cell r="C171">
            <v>60</v>
          </cell>
          <cell r="D171" t="str">
            <v xml:space="preserve">L0   </v>
          </cell>
          <cell r="E171">
            <v>0</v>
          </cell>
          <cell r="F171">
            <v>111107.68</v>
          </cell>
          <cell r="G171">
            <v>26366</v>
          </cell>
          <cell r="H171">
            <v>84742</v>
          </cell>
          <cell r="I171">
            <v>4591</v>
          </cell>
          <cell r="J171">
            <v>4.13</v>
          </cell>
          <cell r="K171">
            <v>18.5</v>
          </cell>
          <cell r="L171" t="str">
            <v xml:space="preserve">      </v>
          </cell>
          <cell r="M171" t="str">
            <v xml:space="preserve">     </v>
          </cell>
          <cell r="N171">
            <v>0</v>
          </cell>
          <cell r="O171">
            <v>23.7</v>
          </cell>
          <cell r="P171">
            <v>5.8</v>
          </cell>
          <cell r="Q171">
            <v>24344</v>
          </cell>
          <cell r="R171">
            <v>4700</v>
          </cell>
          <cell r="S171">
            <v>4.2300000000000004</v>
          </cell>
        </row>
        <row r="172">
          <cell r="A172" t="str">
            <v xml:space="preserve">390.00 09990000     </v>
          </cell>
          <cell r="B172">
            <v>48183</v>
          </cell>
          <cell r="C172">
            <v>60</v>
          </cell>
          <cell r="D172" t="str">
            <v xml:space="preserve">L0   </v>
          </cell>
          <cell r="E172">
            <v>0</v>
          </cell>
          <cell r="F172">
            <v>61566.69</v>
          </cell>
          <cell r="G172">
            <v>12382</v>
          </cell>
          <cell r="H172">
            <v>49185</v>
          </cell>
          <cell r="I172">
            <v>2274</v>
          </cell>
          <cell r="J172">
            <v>3.69</v>
          </cell>
          <cell r="K172">
            <v>21.6</v>
          </cell>
          <cell r="L172" t="str">
            <v xml:space="preserve">      </v>
          </cell>
          <cell r="M172" t="str">
            <v xml:space="preserve">     </v>
          </cell>
          <cell r="N172">
            <v>0</v>
          </cell>
          <cell r="O172">
            <v>20.100000000000001</v>
          </cell>
          <cell r="P172">
            <v>5.3</v>
          </cell>
          <cell r="Q172">
            <v>11432</v>
          </cell>
          <cell r="R172">
            <v>2316</v>
          </cell>
          <cell r="S172">
            <v>3.76</v>
          </cell>
        </row>
        <row r="173">
          <cell r="A173" t="str">
            <v xml:space="preserve">390.00 99990000     </v>
          </cell>
          <cell r="B173">
            <v>56949</v>
          </cell>
          <cell r="C173">
            <v>60</v>
          </cell>
          <cell r="D173" t="str">
            <v xml:space="preserve">L0   </v>
          </cell>
          <cell r="E173">
            <v>0</v>
          </cell>
          <cell r="F173">
            <v>64727.57</v>
          </cell>
          <cell r="G173">
            <v>2188</v>
          </cell>
          <cell r="H173">
            <v>62540</v>
          </cell>
          <cell r="I173">
            <v>1638</v>
          </cell>
          <cell r="J173">
            <v>2.5299999999999998</v>
          </cell>
          <cell r="K173">
            <v>38.200000000000003</v>
          </cell>
          <cell r="L173" t="str">
            <v xml:space="preserve">      </v>
          </cell>
          <cell r="M173" t="str">
            <v xml:space="preserve">     </v>
          </cell>
          <cell r="N173">
            <v>0</v>
          </cell>
          <cell r="O173">
            <v>3.4</v>
          </cell>
          <cell r="P173">
            <v>1.4</v>
          </cell>
          <cell r="Q173">
            <v>2020</v>
          </cell>
          <cell r="R173">
            <v>1644</v>
          </cell>
          <cell r="S173">
            <v>2.54</v>
          </cell>
        </row>
        <row r="174">
          <cell r="A174">
            <v>391.1</v>
          </cell>
          <cell r="B174" t="str">
            <v xml:space="preserve">       </v>
          </cell>
          <cell r="C174">
            <v>30</v>
          </cell>
          <cell r="D174" t="str">
            <v xml:space="preserve">L1   </v>
          </cell>
          <cell r="E174">
            <v>0</v>
          </cell>
          <cell r="F174">
            <v>1159885.68</v>
          </cell>
          <cell r="G174">
            <v>559566</v>
          </cell>
          <cell r="H174">
            <v>600318</v>
          </cell>
          <cell r="I174">
            <v>28925</v>
          </cell>
          <cell r="J174">
            <v>2.4900000000000002</v>
          </cell>
          <cell r="K174">
            <v>20.8</v>
          </cell>
          <cell r="L174" t="str">
            <v xml:space="preserve">      </v>
          </cell>
          <cell r="M174" t="str">
            <v xml:space="preserve">     </v>
          </cell>
          <cell r="N174">
            <v>0</v>
          </cell>
          <cell r="O174">
            <v>48.2</v>
          </cell>
          <cell r="P174">
            <v>15.5</v>
          </cell>
          <cell r="Q174">
            <v>389310</v>
          </cell>
          <cell r="R174">
            <v>38624</v>
          </cell>
          <cell r="S174">
            <v>3.33</v>
          </cell>
        </row>
        <row r="175">
          <cell r="A175">
            <v>391.2</v>
          </cell>
          <cell r="B175" t="str">
            <v xml:space="preserve">       </v>
          </cell>
          <cell r="C175">
            <v>15</v>
          </cell>
          <cell r="D175" t="str">
            <v xml:space="preserve">L1   </v>
          </cell>
          <cell r="E175">
            <v>0</v>
          </cell>
          <cell r="F175">
            <v>918906.01</v>
          </cell>
          <cell r="G175">
            <v>627555</v>
          </cell>
          <cell r="H175">
            <v>291351</v>
          </cell>
          <cell r="I175">
            <v>28481</v>
          </cell>
          <cell r="J175">
            <v>3.1</v>
          </cell>
          <cell r="K175">
            <v>10.199999999999999</v>
          </cell>
          <cell r="L175" t="str">
            <v xml:space="preserve">      </v>
          </cell>
          <cell r="M175" t="str">
            <v xml:space="preserve">     </v>
          </cell>
          <cell r="N175">
            <v>0</v>
          </cell>
          <cell r="O175">
            <v>68.3</v>
          </cell>
          <cell r="P175">
            <v>12.7</v>
          </cell>
          <cell r="Q175">
            <v>407152</v>
          </cell>
          <cell r="R175">
            <v>60740</v>
          </cell>
          <cell r="S175">
            <v>6.61</v>
          </cell>
        </row>
        <row r="176">
          <cell r="A176">
            <v>391.3</v>
          </cell>
          <cell r="B176" t="str">
            <v xml:space="preserve">       </v>
          </cell>
          <cell r="C176">
            <v>7</v>
          </cell>
          <cell r="D176" t="str">
            <v xml:space="preserve">R3   </v>
          </cell>
          <cell r="E176">
            <v>0</v>
          </cell>
          <cell r="F176">
            <v>5544604.0199999996</v>
          </cell>
          <cell r="G176">
            <v>3020001</v>
          </cell>
          <cell r="H176">
            <v>2524603</v>
          </cell>
          <cell r="I176">
            <v>736145</v>
          </cell>
          <cell r="J176">
            <v>13.28</v>
          </cell>
          <cell r="K176">
            <v>3.4</v>
          </cell>
          <cell r="L176" t="str">
            <v xml:space="preserve">      </v>
          </cell>
          <cell r="M176" t="str">
            <v xml:space="preserve">     </v>
          </cell>
          <cell r="N176">
            <v>0</v>
          </cell>
          <cell r="O176">
            <v>54.5</v>
          </cell>
          <cell r="P176">
            <v>4.9000000000000004</v>
          </cell>
          <cell r="Q176">
            <v>3008114</v>
          </cell>
          <cell r="R176">
            <v>745671</v>
          </cell>
          <cell r="S176">
            <v>13.45</v>
          </cell>
        </row>
        <row r="177">
          <cell r="A177">
            <v>391.41</v>
          </cell>
          <cell r="B177" t="str">
            <v xml:space="preserve">       </v>
          </cell>
          <cell r="C177">
            <v>4</v>
          </cell>
          <cell r="D177" t="str">
            <v xml:space="preserve">L2   </v>
          </cell>
          <cell r="E177">
            <v>0</v>
          </cell>
          <cell r="F177">
            <v>1200632.97</v>
          </cell>
          <cell r="G177">
            <v>417820</v>
          </cell>
          <cell r="H177">
            <v>782814</v>
          </cell>
          <cell r="I177">
            <v>389666</v>
          </cell>
          <cell r="J177">
            <v>32.46</v>
          </cell>
          <cell r="K177">
            <v>2</v>
          </cell>
          <cell r="L177" t="str">
            <v xml:space="preserve">      </v>
          </cell>
          <cell r="M177" t="str">
            <v xml:space="preserve">     </v>
          </cell>
          <cell r="N177">
            <v>0</v>
          </cell>
          <cell r="O177">
            <v>34.799999999999997</v>
          </cell>
          <cell r="P177">
            <v>2.8</v>
          </cell>
          <cell r="Q177">
            <v>564984</v>
          </cell>
          <cell r="R177">
            <v>300158</v>
          </cell>
          <cell r="S177">
            <v>25</v>
          </cell>
        </row>
        <row r="178">
          <cell r="A178">
            <v>391.42</v>
          </cell>
          <cell r="B178" t="str">
            <v xml:space="preserve">       </v>
          </cell>
          <cell r="C178">
            <v>10</v>
          </cell>
          <cell r="D178" t="str">
            <v xml:space="preserve">SQ   </v>
          </cell>
          <cell r="E178">
            <v>0</v>
          </cell>
          <cell r="F178">
            <v>3295776.38</v>
          </cell>
          <cell r="G178">
            <v>247183</v>
          </cell>
          <cell r="H178">
            <v>3048593</v>
          </cell>
          <cell r="I178">
            <v>320905</v>
          </cell>
          <cell r="J178">
            <v>9.74</v>
          </cell>
          <cell r="K178">
            <v>9.5</v>
          </cell>
          <cell r="L178" t="str">
            <v xml:space="preserve">      </v>
          </cell>
          <cell r="M178" t="str">
            <v xml:space="preserve">     </v>
          </cell>
          <cell r="N178">
            <v>0</v>
          </cell>
          <cell r="O178">
            <v>7.5</v>
          </cell>
          <cell r="P178">
            <v>0.5</v>
          </cell>
          <cell r="Q178">
            <v>164789</v>
          </cell>
          <cell r="R178">
            <v>329578</v>
          </cell>
          <cell r="S178">
            <v>10</v>
          </cell>
        </row>
        <row r="179">
          <cell r="A179">
            <v>392</v>
          </cell>
          <cell r="B179" t="str">
            <v xml:space="preserve">       </v>
          </cell>
          <cell r="C179">
            <v>8</v>
          </cell>
          <cell r="D179" t="str">
            <v xml:space="preserve">R2.5 </v>
          </cell>
          <cell r="E179">
            <v>0</v>
          </cell>
          <cell r="F179">
            <v>8598621.0600000005</v>
          </cell>
          <cell r="G179">
            <v>6175895</v>
          </cell>
          <cell r="H179">
            <v>2422726</v>
          </cell>
          <cell r="I179">
            <v>601997</v>
          </cell>
          <cell r="J179">
            <v>7</v>
          </cell>
          <cell r="K179">
            <v>4</v>
          </cell>
          <cell r="L179" t="str">
            <v xml:space="preserve">      </v>
          </cell>
          <cell r="M179" t="str">
            <v xml:space="preserve">     </v>
          </cell>
          <cell r="N179">
            <v>0</v>
          </cell>
          <cell r="O179">
            <v>71.8</v>
          </cell>
          <cell r="P179">
            <v>7.3</v>
          </cell>
          <cell r="Q179">
            <v>5502616</v>
          </cell>
          <cell r="R179">
            <v>1047391</v>
          </cell>
          <cell r="S179">
            <v>12.18</v>
          </cell>
        </row>
        <row r="180">
          <cell r="A180">
            <v>393</v>
          </cell>
          <cell r="B180" t="str">
            <v xml:space="preserve">       </v>
          </cell>
          <cell r="C180">
            <v>20</v>
          </cell>
          <cell r="D180" t="str">
            <v xml:space="preserve">L2   </v>
          </cell>
          <cell r="E180">
            <v>0</v>
          </cell>
          <cell r="F180">
            <v>9473.5400000000009</v>
          </cell>
          <cell r="G180">
            <v>5838</v>
          </cell>
          <cell r="H180">
            <v>3635</v>
          </cell>
          <cell r="I180">
            <v>335</v>
          </cell>
          <cell r="J180">
            <v>3.54</v>
          </cell>
          <cell r="K180">
            <v>10.9</v>
          </cell>
          <cell r="L180" t="str">
            <v xml:space="preserve">      </v>
          </cell>
          <cell r="M180" t="str">
            <v xml:space="preserve">     </v>
          </cell>
          <cell r="N180">
            <v>0</v>
          </cell>
          <cell r="O180">
            <v>61.6</v>
          </cell>
          <cell r="P180">
            <v>20.7</v>
          </cell>
          <cell r="Q180">
            <v>5317</v>
          </cell>
          <cell r="R180">
            <v>474</v>
          </cell>
          <cell r="S180">
            <v>5</v>
          </cell>
        </row>
        <row r="181">
          <cell r="A181">
            <v>394</v>
          </cell>
          <cell r="B181" t="str">
            <v xml:space="preserve">       </v>
          </cell>
          <cell r="C181">
            <v>22</v>
          </cell>
          <cell r="D181" t="str">
            <v xml:space="preserve">L0.5 </v>
          </cell>
          <cell r="E181">
            <v>0</v>
          </cell>
          <cell r="F181">
            <v>4456246.99</v>
          </cell>
          <cell r="G181">
            <v>1544854</v>
          </cell>
          <cell r="H181">
            <v>2911394</v>
          </cell>
          <cell r="I181">
            <v>176285</v>
          </cell>
          <cell r="J181">
            <v>3.96</v>
          </cell>
          <cell r="K181">
            <v>16.5</v>
          </cell>
          <cell r="L181" t="str">
            <v xml:space="preserve">      </v>
          </cell>
          <cell r="M181" t="str">
            <v xml:space="preserve">     </v>
          </cell>
          <cell r="N181">
            <v>0</v>
          </cell>
          <cell r="O181">
            <v>34.700000000000003</v>
          </cell>
          <cell r="P181">
            <v>10.5</v>
          </cell>
          <cell r="Q181">
            <v>1190169</v>
          </cell>
          <cell r="R181">
            <v>202390</v>
          </cell>
          <cell r="S181">
            <v>4.54</v>
          </cell>
        </row>
        <row r="182">
          <cell r="A182">
            <v>395</v>
          </cell>
          <cell r="B182" t="str">
            <v xml:space="preserve">       </v>
          </cell>
          <cell r="C182">
            <v>30</v>
          </cell>
          <cell r="D182" t="str">
            <v xml:space="preserve">R3   </v>
          </cell>
          <cell r="E182">
            <v>0</v>
          </cell>
          <cell r="F182">
            <v>14315.48</v>
          </cell>
          <cell r="G182">
            <v>14316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 t="str">
            <v xml:space="preserve">      </v>
          </cell>
          <cell r="M182" t="str">
            <v xml:space="preserve">     </v>
          </cell>
          <cell r="N182">
            <v>0</v>
          </cell>
          <cell r="O182">
            <v>100</v>
          </cell>
          <cell r="P182">
            <v>47.1</v>
          </cell>
          <cell r="Q182">
            <v>13745</v>
          </cell>
          <cell r="R182">
            <v>363</v>
          </cell>
          <cell r="S182">
            <v>2.54</v>
          </cell>
        </row>
        <row r="183">
          <cell r="A183">
            <v>396</v>
          </cell>
          <cell r="B183" t="str">
            <v xml:space="preserve">       </v>
          </cell>
          <cell r="C183">
            <v>13</v>
          </cell>
          <cell r="D183" t="str">
            <v xml:space="preserve">L3   </v>
          </cell>
          <cell r="E183">
            <v>0</v>
          </cell>
          <cell r="F183">
            <v>1679499.82</v>
          </cell>
          <cell r="G183">
            <v>1041322</v>
          </cell>
          <cell r="H183">
            <v>638180</v>
          </cell>
          <cell r="I183">
            <v>99640</v>
          </cell>
          <cell r="J183">
            <v>5.93</v>
          </cell>
          <cell r="K183">
            <v>6.4</v>
          </cell>
          <cell r="L183" t="str">
            <v xml:space="preserve">      </v>
          </cell>
          <cell r="M183" t="str">
            <v xml:space="preserve">     </v>
          </cell>
          <cell r="N183">
            <v>0</v>
          </cell>
          <cell r="O183">
            <v>62</v>
          </cell>
          <cell r="P183">
            <v>10.5</v>
          </cell>
          <cell r="Q183">
            <v>947947</v>
          </cell>
          <cell r="R183">
            <v>126575</v>
          </cell>
          <cell r="S183">
            <v>7.54</v>
          </cell>
        </row>
        <row r="184">
          <cell r="A184">
            <v>397</v>
          </cell>
          <cell r="B184" t="str">
            <v xml:space="preserve">       </v>
          </cell>
          <cell r="C184">
            <v>8</v>
          </cell>
          <cell r="D184" t="str">
            <v xml:space="preserve">L3   </v>
          </cell>
          <cell r="E184">
            <v>0</v>
          </cell>
          <cell r="F184">
            <v>352523.06</v>
          </cell>
          <cell r="G184">
            <v>310890</v>
          </cell>
          <cell r="H184">
            <v>41634</v>
          </cell>
          <cell r="I184">
            <v>16004</v>
          </cell>
          <cell r="J184">
            <v>4.54</v>
          </cell>
          <cell r="K184">
            <v>2.6</v>
          </cell>
          <cell r="L184" t="str">
            <v xml:space="preserve">      </v>
          </cell>
          <cell r="M184" t="str">
            <v xml:space="preserve">     </v>
          </cell>
          <cell r="N184">
            <v>0</v>
          </cell>
          <cell r="O184">
            <v>88.2</v>
          </cell>
          <cell r="P184">
            <v>10</v>
          </cell>
          <cell r="Q184">
            <v>253736</v>
          </cell>
          <cell r="R184">
            <v>40910</v>
          </cell>
          <cell r="S184">
            <v>11.6</v>
          </cell>
        </row>
        <row r="185">
          <cell r="A185">
            <v>397.1</v>
          </cell>
          <cell r="B185" t="str">
            <v xml:space="preserve">       </v>
          </cell>
          <cell r="C185">
            <v>8</v>
          </cell>
          <cell r="D185" t="str">
            <v xml:space="preserve">L3   </v>
          </cell>
          <cell r="E185">
            <v>0</v>
          </cell>
          <cell r="F185">
            <v>770895.75</v>
          </cell>
          <cell r="G185">
            <v>325223</v>
          </cell>
          <cell r="H185">
            <v>445672</v>
          </cell>
          <cell r="I185">
            <v>81735</v>
          </cell>
          <cell r="J185">
            <v>10.6</v>
          </cell>
          <cell r="K185">
            <v>5.5</v>
          </cell>
          <cell r="L185" t="str">
            <v xml:space="preserve">      </v>
          </cell>
          <cell r="M185" t="str">
            <v xml:space="preserve">     </v>
          </cell>
          <cell r="N185">
            <v>0</v>
          </cell>
          <cell r="O185">
            <v>42.2</v>
          </cell>
          <cell r="P185">
            <v>3.1</v>
          </cell>
          <cell r="Q185">
            <v>265689</v>
          </cell>
          <cell r="R185">
            <v>96182</v>
          </cell>
          <cell r="S185">
            <v>12.48</v>
          </cell>
        </row>
        <row r="186">
          <cell r="A186">
            <v>398</v>
          </cell>
          <cell r="B186" t="str">
            <v xml:space="preserve">       </v>
          </cell>
          <cell r="C186">
            <v>35</v>
          </cell>
          <cell r="D186" t="str">
            <v xml:space="preserve">R2   </v>
          </cell>
          <cell r="E186">
            <v>0</v>
          </cell>
          <cell r="F186">
            <v>197092.25</v>
          </cell>
          <cell r="G186">
            <v>73564</v>
          </cell>
          <cell r="H186">
            <v>123529</v>
          </cell>
          <cell r="I186">
            <v>4680</v>
          </cell>
          <cell r="J186">
            <v>2.37</v>
          </cell>
          <cell r="K186">
            <v>26.4</v>
          </cell>
          <cell r="L186" t="str">
            <v xml:space="preserve">      </v>
          </cell>
          <cell r="M186" t="str">
            <v xml:space="preserve">     </v>
          </cell>
          <cell r="N186">
            <v>0</v>
          </cell>
          <cell r="O186">
            <v>37.299999999999997</v>
          </cell>
          <cell r="P186">
            <v>12.1</v>
          </cell>
          <cell r="Q186">
            <v>55618</v>
          </cell>
          <cell r="R186">
            <v>5637</v>
          </cell>
          <cell r="S186">
            <v>2.86</v>
          </cell>
        </row>
        <row r="187">
          <cell r="A187" t="str">
            <v>_x001A_</v>
          </cell>
        </row>
      </sheetData>
      <sheetData sheetId="6" refreshError="1">
        <row r="1">
          <cell r="A1">
            <v>305</v>
          </cell>
          <cell r="C1" t="str">
            <v>Manufactured Gas Plant Remediation</v>
          </cell>
          <cell r="L1">
            <v>2007</v>
          </cell>
        </row>
        <row r="2">
          <cell r="A2">
            <v>375</v>
          </cell>
          <cell r="B2" t="str">
            <v>STRUCTURES &amp; IMPROVEMENTS</v>
          </cell>
          <cell r="C2" t="str">
            <v>Structures and Improvements</v>
          </cell>
        </row>
        <row r="3">
          <cell r="A3">
            <v>376</v>
          </cell>
          <cell r="C3" t="str">
            <v>Mains</v>
          </cell>
        </row>
        <row r="4">
          <cell r="A4">
            <v>376.1</v>
          </cell>
          <cell r="B4" t="str">
            <v xml:space="preserve">MAINS - PLASTIC </v>
          </cell>
          <cell r="C4" t="str">
            <v>Mains - Plastic</v>
          </cell>
        </row>
        <row r="5">
          <cell r="A5">
            <v>376.2</v>
          </cell>
          <cell r="B5" t="str">
            <v>MAINS - OTHER</v>
          </cell>
          <cell r="C5" t="str">
            <v>Mains - Other</v>
          </cell>
        </row>
        <row r="6">
          <cell r="A6">
            <v>378</v>
          </cell>
          <cell r="B6" t="str">
            <v>MEASURING &amp; REGULATING EQUIPMENT - GENERAL</v>
          </cell>
          <cell r="C6" t="str">
            <v>Measuring &amp; Regulating Equipment - General</v>
          </cell>
        </row>
        <row r="7">
          <cell r="A7">
            <v>379</v>
          </cell>
          <cell r="B7" t="str">
            <v>MEASURING &amp; REGULATING EQUIPMENT - CITY GATE</v>
          </cell>
          <cell r="C7" t="str">
            <v>Measuring &amp; Regulating Equipment - City Gate</v>
          </cell>
        </row>
        <row r="8">
          <cell r="A8">
            <v>380</v>
          </cell>
          <cell r="C8" t="str">
            <v>Services</v>
          </cell>
        </row>
        <row r="9">
          <cell r="A9">
            <v>380.1</v>
          </cell>
          <cell r="B9" t="str">
            <v>SERVICES - PLASTIC</v>
          </cell>
          <cell r="C9" t="str">
            <v>Services - Plastic</v>
          </cell>
        </row>
        <row r="10">
          <cell r="A10">
            <v>380.2</v>
          </cell>
          <cell r="B10" t="str">
            <v>SERVICES - OTHER</v>
          </cell>
          <cell r="C10" t="str">
            <v>Services - Other</v>
          </cell>
        </row>
        <row r="11">
          <cell r="A11">
            <v>381</v>
          </cell>
          <cell r="B11" t="str">
            <v>METERS</v>
          </cell>
          <cell r="C11" t="str">
            <v>Meters</v>
          </cell>
        </row>
        <row r="12">
          <cell r="A12">
            <v>381.1</v>
          </cell>
          <cell r="C12" t="str">
            <v>Meters - AMR</v>
          </cell>
        </row>
        <row r="13">
          <cell r="A13">
            <v>383</v>
          </cell>
          <cell r="B13" t="str">
            <v>HOUSE REGULATOR</v>
          </cell>
          <cell r="C13" t="str">
            <v>House Regulators</v>
          </cell>
        </row>
        <row r="14">
          <cell r="A14">
            <v>384</v>
          </cell>
          <cell r="B14" t="str">
            <v>HOUSE REGULATOR INSTALLATIONS</v>
          </cell>
          <cell r="C14" t="str">
            <v>House Regulator Installations</v>
          </cell>
        </row>
        <row r="15">
          <cell r="A15">
            <v>385</v>
          </cell>
          <cell r="B15" t="str">
            <v>INDUSTRIAL MEASURING &amp; REGULATING EQUIPMENT</v>
          </cell>
          <cell r="C15" t="str">
            <v>Industrial Measuring &amp; Regulating Equipment</v>
          </cell>
        </row>
        <row r="16">
          <cell r="A16">
            <v>387</v>
          </cell>
          <cell r="B16" t="str">
            <v>OTHER DISTRIBUTION EQUIPMENT</v>
          </cell>
          <cell r="C16" t="str">
            <v>Other Distribution Equipment</v>
          </cell>
        </row>
        <row r="17">
          <cell r="A17">
            <v>390</v>
          </cell>
          <cell r="B17" t="str">
            <v>STRUCTURES &amp; IMPROVEMENTS</v>
          </cell>
          <cell r="C17" t="str">
            <v>Structures and Improvements</v>
          </cell>
        </row>
        <row r="18">
          <cell r="A18">
            <v>391</v>
          </cell>
          <cell r="C18" t="str">
            <v>Office Furniture and Equipment</v>
          </cell>
        </row>
        <row r="19">
          <cell r="A19">
            <v>391.1</v>
          </cell>
          <cell r="B19" t="str">
            <v>OFFICE FURNITURE</v>
          </cell>
          <cell r="C19" t="str">
            <v>Office Furniture</v>
          </cell>
        </row>
        <row r="20">
          <cell r="A20">
            <v>391.2</v>
          </cell>
          <cell r="B20" t="str">
            <v>OFFICE EQUIPMENT</v>
          </cell>
          <cell r="C20" t="str">
            <v>Office Equipment</v>
          </cell>
        </row>
        <row r="21">
          <cell r="A21">
            <v>391.3</v>
          </cell>
          <cell r="B21" t="str">
            <v>COMPUTER EQUIPMENT</v>
          </cell>
          <cell r="C21" t="str">
            <v>Computer Equipment</v>
          </cell>
        </row>
        <row r="22">
          <cell r="A22">
            <v>391.41</v>
          </cell>
          <cell r="C22" t="str">
            <v>Computer Software - General</v>
          </cell>
        </row>
        <row r="23">
          <cell r="A23">
            <v>391.42</v>
          </cell>
          <cell r="C23" t="str">
            <v>Computer Software - Oracle</v>
          </cell>
        </row>
        <row r="24">
          <cell r="A24">
            <v>392</v>
          </cell>
          <cell r="B24" t="str">
            <v>TRANSPORTATION EQUIPMENT</v>
          </cell>
          <cell r="C24" t="str">
            <v>Transportation Equipment</v>
          </cell>
        </row>
        <row r="25">
          <cell r="A25">
            <v>393</v>
          </cell>
          <cell r="B25" t="str">
            <v>STORES EQUIPMENT</v>
          </cell>
          <cell r="C25" t="str">
            <v>Stores Equipment</v>
          </cell>
        </row>
        <row r="26">
          <cell r="A26">
            <v>394</v>
          </cell>
          <cell r="B26" t="str">
            <v>TOOLS, SHOP &amp; GARAGE EQUIPMENT</v>
          </cell>
          <cell r="C26" t="str">
            <v>Tools, Shop and Garage Equipment</v>
          </cell>
        </row>
        <row r="27">
          <cell r="A27">
            <v>395</v>
          </cell>
          <cell r="B27" t="str">
            <v>LABORATORY EQUIPMENT</v>
          </cell>
          <cell r="C27" t="str">
            <v>Laboratory Equipment</v>
          </cell>
        </row>
        <row r="28">
          <cell r="A28">
            <v>396</v>
          </cell>
          <cell r="B28" t="str">
            <v>POWER OPERATED EQUIPMENT</v>
          </cell>
          <cell r="C28" t="str">
            <v>Power Operated Equipment</v>
          </cell>
        </row>
        <row r="29">
          <cell r="A29">
            <v>397</v>
          </cell>
          <cell r="B29" t="str">
            <v>COMMUNICATION EQUIPMENT</v>
          </cell>
          <cell r="C29" t="str">
            <v>Communication Equipment</v>
          </cell>
        </row>
        <row r="30">
          <cell r="A30">
            <v>397.1</v>
          </cell>
          <cell r="B30" t="str">
            <v>Telephone Systems</v>
          </cell>
          <cell r="C30" t="str">
            <v>Telephone Systems</v>
          </cell>
        </row>
        <row r="31">
          <cell r="A31">
            <v>398</v>
          </cell>
          <cell r="B31" t="str">
            <v>MISCELLANEOUS EQUIPMENT</v>
          </cell>
          <cell r="C31" t="str">
            <v>Miscellaneous Equipment</v>
          </cell>
        </row>
        <row r="32">
          <cell r="A32">
            <v>301</v>
          </cell>
          <cell r="B32" t="str">
            <v>Organization</v>
          </cell>
          <cell r="C32" t="str">
            <v>Organization</v>
          </cell>
        </row>
        <row r="33">
          <cell r="A33">
            <v>302</v>
          </cell>
          <cell r="B33" t="str">
            <v>Franchise &amp; Consents</v>
          </cell>
          <cell r="C33" t="str">
            <v>Franchise &amp; Consents</v>
          </cell>
        </row>
        <row r="34">
          <cell r="A34">
            <v>374.1</v>
          </cell>
          <cell r="B34" t="str">
            <v>Land</v>
          </cell>
          <cell r="C34" t="str">
            <v>Land</v>
          </cell>
        </row>
        <row r="35">
          <cell r="A35">
            <v>374.2</v>
          </cell>
          <cell r="B35" t="str">
            <v>Land Rights</v>
          </cell>
          <cell r="C35" t="str">
            <v>Land Rights</v>
          </cell>
        </row>
        <row r="36">
          <cell r="A36">
            <v>389.1</v>
          </cell>
          <cell r="B36" t="str">
            <v>Land</v>
          </cell>
          <cell r="C36" t="str">
            <v>Land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in"/>
      <sheetName val="Alloc"/>
      <sheetName val="ROR"/>
      <sheetName val="Sched.A"/>
      <sheetName val="Ft  1to4"/>
      <sheetName val="Ftr 3 &amp; 6"/>
      <sheetName val="FTR 5&amp; 5A"/>
      <sheetName val="Ft 7to9"/>
      <sheetName val="Ft 10to14"/>
      <sheetName val="Ft 15to21"/>
      <sheetName val="customer"/>
      <sheetName val="Demand"/>
      <sheetName val="Corrections"/>
      <sheetName val="Checks"/>
    </sheetNames>
    <sheetDataSet>
      <sheetData sheetId="0"/>
      <sheetData sheetId="1"/>
      <sheetData sheetId="2">
        <row r="23">
          <cell r="F23">
            <v>65518441</v>
          </cell>
          <cell r="G23">
            <v>65518432</v>
          </cell>
          <cell r="H23">
            <v>15070042</v>
          </cell>
          <cell r="I23">
            <v>15070040</v>
          </cell>
          <cell r="J23">
            <v>5318070</v>
          </cell>
          <cell r="K23">
            <v>5318068</v>
          </cell>
          <cell r="L23">
            <v>4050137</v>
          </cell>
          <cell r="M23">
            <v>4050136</v>
          </cell>
          <cell r="N23">
            <v>8039067.3886712994</v>
          </cell>
          <cell r="O23">
            <v>8039064</v>
          </cell>
          <cell r="P23">
            <v>386187</v>
          </cell>
        </row>
        <row r="36">
          <cell r="F36">
            <v>337417103</v>
          </cell>
          <cell r="G36">
            <v>337416960</v>
          </cell>
          <cell r="H36">
            <v>101271259</v>
          </cell>
          <cell r="I36">
            <v>101271232</v>
          </cell>
          <cell r="J36">
            <v>36783419</v>
          </cell>
          <cell r="K36">
            <v>36783392</v>
          </cell>
          <cell r="L36">
            <v>29177610</v>
          </cell>
          <cell r="M36">
            <v>29177600</v>
          </cell>
          <cell r="N36">
            <v>49737198.149673641</v>
          </cell>
          <cell r="O36">
            <v>49737184</v>
          </cell>
          <cell r="P36">
            <v>1588219</v>
          </cell>
        </row>
        <row r="68">
          <cell r="F68">
            <v>65518441</v>
          </cell>
          <cell r="G68">
            <v>65518432</v>
          </cell>
          <cell r="H68">
            <v>15070042</v>
          </cell>
          <cell r="I68">
            <v>15070040</v>
          </cell>
          <cell r="J68">
            <v>5318070</v>
          </cell>
          <cell r="K68">
            <v>5318068</v>
          </cell>
          <cell r="L68">
            <v>4050137</v>
          </cell>
          <cell r="M68">
            <v>4050136</v>
          </cell>
          <cell r="N68">
            <v>8039067.3886712994</v>
          </cell>
          <cell r="O68">
            <v>8039064</v>
          </cell>
          <cell r="P68">
            <v>386187</v>
          </cell>
        </row>
        <row r="81">
          <cell r="F81">
            <v>337417103</v>
          </cell>
          <cell r="G81">
            <v>337416960</v>
          </cell>
          <cell r="H81">
            <v>101271259</v>
          </cell>
          <cell r="I81">
            <v>101271232</v>
          </cell>
          <cell r="J81">
            <v>36783419</v>
          </cell>
          <cell r="K81">
            <v>36783392</v>
          </cell>
          <cell r="L81">
            <v>29177610</v>
          </cell>
          <cell r="M81">
            <v>29177600</v>
          </cell>
          <cell r="N81">
            <v>49737198.149673641</v>
          </cell>
          <cell r="O81">
            <v>49737184</v>
          </cell>
          <cell r="P81">
            <v>1588219</v>
          </cell>
        </row>
      </sheetData>
      <sheetData sheetId="3">
        <row r="16">
          <cell r="D16">
            <v>105398121</v>
          </cell>
        </row>
        <row r="18">
          <cell r="D18">
            <v>27014242</v>
          </cell>
        </row>
        <row r="20">
          <cell r="D20">
            <v>9686887</v>
          </cell>
        </row>
        <row r="22">
          <cell r="D22">
            <v>7612418</v>
          </cell>
        </row>
        <row r="24">
          <cell r="D24">
            <v>14101633.388671299</v>
          </cell>
        </row>
        <row r="26">
          <cell r="D26">
            <v>575647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35"/>
  <sheetViews>
    <sheetView workbookViewId="0"/>
  </sheetViews>
  <sheetFormatPr defaultColWidth="9.6640625" defaultRowHeight="15"/>
  <cols>
    <col min="1" max="1" width="19.88671875" style="1" customWidth="1"/>
    <col min="2" max="2" width="11" style="1" customWidth="1"/>
    <col min="3" max="3" width="12.6640625" style="1" customWidth="1"/>
    <col min="4" max="4" width="11.21875" style="1" customWidth="1"/>
    <col min="5" max="5" width="11.88671875" style="1" customWidth="1"/>
    <col min="6" max="16384" width="9.6640625" style="1"/>
  </cols>
  <sheetData>
    <row r="1" spans="1:6" ht="14.1" customHeight="1">
      <c r="A1" s="2" t="s">
        <v>635</v>
      </c>
      <c r="B1" s="3"/>
      <c r="C1" s="3"/>
      <c r="D1" s="3"/>
      <c r="E1" s="3"/>
    </row>
    <row r="2" spans="1:6" ht="14.1" customHeight="1">
      <c r="A2" s="106"/>
      <c r="B2" s="3"/>
      <c r="C2" s="3"/>
      <c r="D2" s="3"/>
      <c r="E2" s="3"/>
    </row>
    <row r="3" spans="1:6" ht="14.1" customHeight="1">
      <c r="A3" s="400" t="s">
        <v>170</v>
      </c>
      <c r="B3" s="3"/>
      <c r="C3" s="3"/>
      <c r="D3" s="3"/>
      <c r="E3" s="3"/>
    </row>
    <row r="4" spans="1:6" ht="10.9" customHeight="1">
      <c r="A4" s="5"/>
      <c r="B4" s="5"/>
      <c r="C4" s="5"/>
      <c r="D4" s="5"/>
      <c r="E4" s="5"/>
    </row>
    <row r="5" spans="1:6" ht="16.899999999999999" customHeight="1">
      <c r="A5" s="45" t="s">
        <v>405</v>
      </c>
      <c r="B5" s="29"/>
      <c r="C5" s="29"/>
      <c r="D5" s="29"/>
      <c r="E5" s="29"/>
    </row>
    <row r="6" spans="1:6" ht="7.15" customHeight="1">
      <c r="A6" s="5"/>
      <c r="B6" s="5"/>
      <c r="C6" s="5"/>
      <c r="D6" s="5"/>
      <c r="E6" s="5"/>
    </row>
    <row r="7" spans="1:6" ht="12" customHeight="1">
      <c r="A7" s="5" t="s">
        <v>205</v>
      </c>
      <c r="B7" s="5"/>
      <c r="C7" s="5"/>
      <c r="D7" s="5"/>
      <c r="E7" s="5"/>
    </row>
    <row r="8" spans="1:6" ht="9" customHeight="1">
      <c r="A8" s="45"/>
      <c r="B8" s="45"/>
      <c r="C8" s="45"/>
      <c r="D8" s="45"/>
      <c r="E8" s="45"/>
      <c r="F8" s="44"/>
    </row>
    <row r="9" spans="1:6" ht="14.1" customHeight="1">
      <c r="A9" s="3" t="s">
        <v>171</v>
      </c>
      <c r="C9" s="8" t="s">
        <v>207</v>
      </c>
      <c r="E9" s="8" t="s">
        <v>180</v>
      </c>
    </row>
    <row r="10" spans="1:6" ht="14.1" customHeight="1">
      <c r="A10" s="3" t="s">
        <v>172</v>
      </c>
      <c r="C10" s="8" t="s">
        <v>211</v>
      </c>
      <c r="E10" s="8" t="s">
        <v>186</v>
      </c>
    </row>
    <row r="11" spans="1:6" ht="14.1" customHeight="1">
      <c r="A11" s="9" t="s">
        <v>173</v>
      </c>
      <c r="C11" s="10" t="s">
        <v>181</v>
      </c>
      <c r="E11" s="10" t="s">
        <v>195</v>
      </c>
    </row>
    <row r="12" spans="1:6" ht="7.9" customHeight="1">
      <c r="A12" s="11"/>
      <c r="C12" s="5"/>
      <c r="E12" s="5"/>
    </row>
    <row r="13" spans="1:6" ht="14.1" customHeight="1">
      <c r="A13" s="11" t="s">
        <v>254</v>
      </c>
    </row>
    <row r="14" spans="1:6" ht="14.1" customHeight="1">
      <c r="A14" s="5" t="s">
        <v>324</v>
      </c>
      <c r="C14" s="457">
        <f>+Alloc!K340</f>
        <v>2040132</v>
      </c>
      <c r="E14" s="458">
        <f>+Alloc!K341</f>
        <v>0.20180000000000001</v>
      </c>
    </row>
    <row r="15" spans="1:6" ht="14.1" customHeight="1">
      <c r="A15" s="5" t="s">
        <v>325</v>
      </c>
      <c r="C15" s="223">
        <f>+Alloc!M340</f>
        <v>848810</v>
      </c>
      <c r="E15" s="458">
        <f>+Alloc!M341</f>
        <v>8.3900000000000002E-2</v>
      </c>
    </row>
    <row r="16" spans="1:6" ht="13.5" customHeight="1">
      <c r="A16" s="5" t="s">
        <v>326</v>
      </c>
      <c r="C16" s="223">
        <f>+Alloc!O340</f>
        <v>372110</v>
      </c>
      <c r="E16" s="458">
        <f>+Alloc!O341</f>
        <v>3.6799999999999999E-2</v>
      </c>
    </row>
    <row r="17" spans="1:5" ht="12" customHeight="1">
      <c r="A17" s="5" t="s">
        <v>327</v>
      </c>
      <c r="C17" s="223">
        <f>+Alloc!Q340</f>
        <v>276328</v>
      </c>
      <c r="E17" s="458">
        <f>+Alloc!Q341</f>
        <v>2.7300000000000001E-2</v>
      </c>
    </row>
    <row r="18" spans="1:5" ht="14.1" customHeight="1">
      <c r="A18" s="5" t="s">
        <v>626</v>
      </c>
      <c r="C18" s="223">
        <f>+Alloc!S340</f>
        <v>1243722</v>
      </c>
      <c r="E18" s="458">
        <f>+Alloc!S341</f>
        <v>0.123</v>
      </c>
    </row>
    <row r="19" spans="1:5" ht="14.1" customHeight="1">
      <c r="A19" s="5" t="s">
        <v>428</v>
      </c>
      <c r="C19" s="223">
        <f>+Alloc!U340</f>
        <v>34784</v>
      </c>
      <c r="E19" s="458">
        <f>+Alloc!U341</f>
        <v>3.3999999999999998E-3</v>
      </c>
    </row>
    <row r="20" spans="1:5" ht="14.1" customHeight="1">
      <c r="A20" s="11" t="s">
        <v>255</v>
      </c>
      <c r="C20" s="283"/>
      <c r="D20" s="43"/>
      <c r="E20" s="390"/>
    </row>
    <row r="21" spans="1:5" ht="14.1" customHeight="1">
      <c r="A21" s="5" t="s">
        <v>324</v>
      </c>
      <c r="C21" s="223">
        <f>+Alloc!W340</f>
        <v>3690613</v>
      </c>
      <c r="D21" s="43"/>
      <c r="E21" s="390">
        <f>+Alloc!W341</f>
        <v>0.36499999999999999</v>
      </c>
    </row>
    <row r="22" spans="1:5" ht="14.1" customHeight="1">
      <c r="A22" s="5" t="s">
        <v>325</v>
      </c>
      <c r="C22" s="223">
        <f>+Alloc!Y340</f>
        <v>1018637</v>
      </c>
      <c r="D22" s="43"/>
      <c r="E22" s="390">
        <f>+Alloc!Y341</f>
        <v>0.1007</v>
      </c>
    </row>
    <row r="23" spans="1:5" ht="14.1" customHeight="1">
      <c r="A23" s="5" t="s">
        <v>326</v>
      </c>
      <c r="C23" s="223">
        <f>+Alloc!AA340</f>
        <v>330819</v>
      </c>
      <c r="D23" s="43"/>
      <c r="E23" s="390">
        <f>+Alloc!AA341</f>
        <v>3.27E-2</v>
      </c>
    </row>
    <row r="24" spans="1:5" ht="14.1" customHeight="1">
      <c r="A24" s="5" t="s">
        <v>327</v>
      </c>
      <c r="C24" s="223">
        <f>+Alloc!AC340</f>
        <v>183591</v>
      </c>
      <c r="D24" s="43"/>
      <c r="E24" s="390">
        <f>+Alloc!AC341</f>
        <v>1.8200000000000001E-2</v>
      </c>
    </row>
    <row r="25" spans="1:5" ht="14.1" customHeight="1">
      <c r="A25" s="5" t="s">
        <v>626</v>
      </c>
      <c r="C25" s="223">
        <f>+Alloc!AE340</f>
        <v>25279</v>
      </c>
      <c r="D25" s="43"/>
      <c r="E25" s="390">
        <f>+Alloc!AE341</f>
        <v>2.5000000000000001E-3</v>
      </c>
    </row>
    <row r="26" spans="1:5">
      <c r="A26" s="5" t="s">
        <v>428</v>
      </c>
      <c r="C26" s="224">
        <f>+Alloc!AG340</f>
        <v>47176</v>
      </c>
      <c r="D26" s="43"/>
      <c r="E26" s="459">
        <f>+Alloc!AG341</f>
        <v>4.7000000000000002E-3</v>
      </c>
    </row>
    <row r="27" spans="1:5" ht="15.6" customHeight="1">
      <c r="A27" s="5" t="s">
        <v>176</v>
      </c>
      <c r="C27" s="457">
        <f>SUM(C14:C26)</f>
        <v>10112001</v>
      </c>
      <c r="E27" s="458">
        <f>SUM(E14:E26)</f>
        <v>0.99999999999999989</v>
      </c>
    </row>
    <row r="28" spans="1:5" ht="14.1" customHeight="1" thickTop="1">
      <c r="A28" s="5"/>
      <c r="B28" s="5"/>
      <c r="C28" s="15"/>
      <c r="D28" s="14"/>
      <c r="E28" s="15"/>
    </row>
    <row r="29" spans="1:5" ht="26.25" customHeight="1">
      <c r="A29" s="45" t="s">
        <v>406</v>
      </c>
      <c r="B29" s="29"/>
      <c r="C29" s="29"/>
      <c r="D29" s="29"/>
      <c r="E29" s="29"/>
    </row>
    <row r="30" spans="1:5" ht="12" customHeight="1">
      <c r="A30" s="5"/>
      <c r="B30" s="5"/>
      <c r="C30" s="5"/>
      <c r="D30" s="5"/>
      <c r="E30" s="5"/>
    </row>
    <row r="31" spans="1:5" ht="12.75" customHeight="1">
      <c r="A31" s="5" t="s">
        <v>407</v>
      </c>
      <c r="B31" s="5"/>
      <c r="C31" s="5"/>
      <c r="D31" s="5"/>
      <c r="E31" s="5"/>
    </row>
    <row r="32" spans="1:5" ht="9" customHeight="1">
      <c r="A32" s="45"/>
      <c r="B32" s="45"/>
      <c r="C32" s="45"/>
      <c r="D32" s="45"/>
      <c r="E32" s="45"/>
    </row>
    <row r="33" spans="1:5" ht="12.75" customHeight="1">
      <c r="A33" s="3" t="s">
        <v>171</v>
      </c>
      <c r="C33" s="8" t="s">
        <v>210</v>
      </c>
      <c r="E33" s="8" t="s">
        <v>180</v>
      </c>
    </row>
    <row r="34" spans="1:5" ht="14.1" customHeight="1">
      <c r="A34" s="3" t="s">
        <v>172</v>
      </c>
      <c r="C34" s="8" t="s">
        <v>211</v>
      </c>
      <c r="E34" s="8" t="s">
        <v>186</v>
      </c>
    </row>
    <row r="35" spans="1:5" ht="14.1" customHeight="1">
      <c r="A35" s="9" t="s">
        <v>173</v>
      </c>
      <c r="C35" s="10" t="s">
        <v>181</v>
      </c>
      <c r="E35" s="10" t="s">
        <v>195</v>
      </c>
    </row>
    <row r="36" spans="1:5" ht="14.1" customHeight="1">
      <c r="A36" s="11"/>
      <c r="C36" s="5"/>
      <c r="E36" s="5"/>
    </row>
    <row r="37" spans="1:5" ht="14.1" customHeight="1">
      <c r="A37" s="11" t="s">
        <v>254</v>
      </c>
    </row>
    <row r="38" spans="1:5" ht="14.1" customHeight="1">
      <c r="A38" s="5" t="s">
        <v>324</v>
      </c>
      <c r="C38" s="457">
        <f>+Alloc!K342</f>
        <v>5338922</v>
      </c>
      <c r="E38" s="458">
        <f>+Alloc!K343</f>
        <v>0.38890000000000002</v>
      </c>
    </row>
    <row r="39" spans="1:5" ht="14.1" customHeight="1">
      <c r="A39" s="5" t="s">
        <v>325</v>
      </c>
      <c r="C39" s="223">
        <f>+Alloc!M342</f>
        <v>2221527</v>
      </c>
      <c r="E39" s="458">
        <f>+Alloc!M343</f>
        <v>0.1618</v>
      </c>
    </row>
    <row r="40" spans="1:5" ht="14.1" customHeight="1">
      <c r="A40" s="5" t="s">
        <v>326</v>
      </c>
      <c r="C40" s="223">
        <f>+Alloc!O342</f>
        <v>973995</v>
      </c>
      <c r="E40" s="458">
        <f>+Alloc!O343</f>
        <v>7.0900000000000005E-2</v>
      </c>
    </row>
    <row r="41" spans="1:5" ht="14.1" customHeight="1">
      <c r="A41" s="5" t="s">
        <v>327</v>
      </c>
      <c r="C41" s="223">
        <f>+Alloc!Q342</f>
        <v>723233</v>
      </c>
      <c r="E41" s="458">
        <f>+Alloc!Q343</f>
        <v>5.2699999999999997E-2</v>
      </c>
    </row>
    <row r="42" spans="1:5" ht="14.1" customHeight="1">
      <c r="A42" s="5" t="s">
        <v>626</v>
      </c>
      <c r="C42" s="223">
        <f>+Alloc!S342</f>
        <v>1821273</v>
      </c>
      <c r="E42" s="458">
        <f>+Alloc!S343</f>
        <v>0.1326</v>
      </c>
    </row>
    <row r="43" spans="1:5" ht="14.1" customHeight="1">
      <c r="A43" s="5" t="s">
        <v>428</v>
      </c>
      <c r="C43" s="223">
        <f>+Alloc!U342</f>
        <v>91052</v>
      </c>
      <c r="E43" s="458">
        <f>+Alloc!U343</f>
        <v>6.6E-3</v>
      </c>
    </row>
    <row r="44" spans="1:5" ht="14.1" customHeight="1">
      <c r="A44" s="11" t="s">
        <v>255</v>
      </c>
      <c r="C44" s="283"/>
      <c r="D44" s="43"/>
      <c r="E44" s="390"/>
    </row>
    <row r="45" spans="1:5" ht="14.1" customHeight="1">
      <c r="A45" s="5" t="s">
        <v>324</v>
      </c>
      <c r="C45" s="223">
        <f>+Alloc!W342</f>
        <v>1526780</v>
      </c>
      <c r="D45" s="43"/>
      <c r="E45" s="390">
        <f>+Alloc!W343</f>
        <v>0.11119999999999999</v>
      </c>
    </row>
    <row r="46" spans="1:5" ht="14.1" customHeight="1">
      <c r="A46" s="5" t="s">
        <v>325</v>
      </c>
      <c r="C46" s="223">
        <f>+Alloc!Y342</f>
        <v>410981</v>
      </c>
      <c r="D46" s="43"/>
      <c r="E46" s="390">
        <f>+Alloc!Y343</f>
        <v>2.9899999999999999E-2</v>
      </c>
    </row>
    <row r="47" spans="1:5" ht="14.1" customHeight="1">
      <c r="A47" s="5" t="s">
        <v>326</v>
      </c>
      <c r="C47" s="223">
        <f>+Alloc!AA342</f>
        <v>130491</v>
      </c>
      <c r="D47" s="43"/>
      <c r="E47" s="390">
        <f>+Alloc!AA343</f>
        <v>9.4999999999999998E-3</v>
      </c>
    </row>
    <row r="48" spans="1:5" ht="14.1" customHeight="1">
      <c r="A48" s="5" t="s">
        <v>327</v>
      </c>
      <c r="C48" s="223">
        <f>+Alloc!AC342</f>
        <v>307004</v>
      </c>
      <c r="D48" s="43"/>
      <c r="E48" s="390">
        <f>+Alloc!AC343</f>
        <v>2.24E-2</v>
      </c>
    </row>
    <row r="49" spans="1:5" ht="14.1" customHeight="1">
      <c r="A49" s="5" t="s">
        <v>626</v>
      </c>
      <c r="C49" s="223">
        <f>+Alloc!AE342</f>
        <v>94636</v>
      </c>
      <c r="D49" s="43"/>
      <c r="E49" s="390">
        <f>+Alloc!AE343</f>
        <v>6.8999999999999999E-3</v>
      </c>
    </row>
    <row r="50" spans="1:5" ht="14.1" customHeight="1">
      <c r="A50" s="5" t="s">
        <v>428</v>
      </c>
      <c r="C50" s="224">
        <f>+Alloc!AG342</f>
        <v>90108</v>
      </c>
      <c r="D50" s="43"/>
      <c r="E50" s="459">
        <f>+Alloc!AG343</f>
        <v>6.6E-3</v>
      </c>
    </row>
    <row r="51" spans="1:5" ht="16.149999999999999" customHeight="1" thickBot="1">
      <c r="A51" s="5" t="s">
        <v>176</v>
      </c>
      <c r="C51" s="638">
        <f>SUM(C38:C50)</f>
        <v>13730002</v>
      </c>
      <c r="E51" s="639">
        <f>SUM(E38:E50)</f>
        <v>1</v>
      </c>
    </row>
    <row r="52" spans="1:5" ht="23.45" customHeight="1" thickTop="1">
      <c r="A52" s="2" t="s">
        <v>635</v>
      </c>
      <c r="B52" s="3"/>
      <c r="C52" s="3"/>
      <c r="D52" s="3"/>
      <c r="E52" s="3"/>
    </row>
    <row r="53" spans="1:5" ht="14.1" customHeight="1">
      <c r="A53" s="106"/>
      <c r="B53" s="3"/>
      <c r="C53" s="3"/>
      <c r="D53" s="3"/>
      <c r="E53" s="3"/>
    </row>
    <row r="54" spans="1:5" ht="14.1" customHeight="1">
      <c r="A54" s="400" t="s">
        <v>170</v>
      </c>
      <c r="B54" s="3"/>
      <c r="C54" s="3"/>
      <c r="D54" s="3"/>
      <c r="E54" s="3"/>
    </row>
    <row r="55" spans="1:5" ht="14.1" customHeight="1">
      <c r="A55" s="5"/>
      <c r="B55" s="5"/>
      <c r="C55" s="5"/>
      <c r="D55" s="5"/>
      <c r="E55" s="5"/>
    </row>
    <row r="56" spans="1:5" ht="14.25" customHeight="1">
      <c r="A56" s="5" t="s">
        <v>455</v>
      </c>
      <c r="B56" s="5"/>
      <c r="C56" s="5"/>
      <c r="D56" s="14"/>
      <c r="E56" s="5"/>
    </row>
    <row r="57" spans="1:5" ht="8.4499999999999993" customHeight="1">
      <c r="A57" s="5"/>
      <c r="B57" s="5"/>
      <c r="C57" s="5"/>
      <c r="D57" s="14"/>
      <c r="E57" s="5"/>
    </row>
    <row r="58" spans="1:5" ht="14.1" customHeight="1">
      <c r="A58" s="5" t="s">
        <v>288</v>
      </c>
      <c r="B58" s="5"/>
      <c r="C58" s="5"/>
      <c r="D58" s="5"/>
      <c r="E58" s="5"/>
    </row>
    <row r="59" spans="1:5" ht="9" customHeight="1">
      <c r="A59" s="177"/>
    </row>
    <row r="60" spans="1:5" ht="14.1" customHeight="1">
      <c r="A60" s="5"/>
      <c r="B60" s="5"/>
      <c r="C60" s="8" t="s">
        <v>209</v>
      </c>
      <c r="D60" s="5"/>
      <c r="E60" s="5"/>
    </row>
    <row r="61" spans="1:5" ht="14.1" customHeight="1">
      <c r="A61" s="3" t="s">
        <v>171</v>
      </c>
      <c r="C61" s="8" t="s">
        <v>210</v>
      </c>
      <c r="E61" s="8" t="s">
        <v>180</v>
      </c>
    </row>
    <row r="62" spans="1:5" ht="14.1" customHeight="1">
      <c r="A62" s="3" t="s">
        <v>172</v>
      </c>
      <c r="C62" s="8" t="s">
        <v>211</v>
      </c>
      <c r="E62" s="8" t="s">
        <v>186</v>
      </c>
    </row>
    <row r="63" spans="1:5" ht="12" customHeight="1">
      <c r="A63" s="9" t="s">
        <v>173</v>
      </c>
      <c r="C63" s="10" t="s">
        <v>181</v>
      </c>
      <c r="E63" s="10" t="s">
        <v>195</v>
      </c>
    </row>
    <row r="64" spans="1:5" ht="19.149999999999999" customHeight="1">
      <c r="A64" s="11" t="s">
        <v>254</v>
      </c>
      <c r="C64" s="5"/>
      <c r="E64" s="5"/>
    </row>
    <row r="65" spans="1:5" ht="12.75" customHeight="1">
      <c r="A65" s="5" t="s">
        <v>324</v>
      </c>
      <c r="C65" s="457">
        <f>+Alloc!K344</f>
        <v>9217232</v>
      </c>
      <c r="E65" s="458">
        <f>+Alloc!K345</f>
        <v>0.21379999999999999</v>
      </c>
    </row>
    <row r="66" spans="1:5" ht="12" customHeight="1">
      <c r="A66" s="5" t="s">
        <v>325</v>
      </c>
      <c r="C66" s="223">
        <f>+Alloc!M344</f>
        <v>3488134</v>
      </c>
      <c r="E66" s="458">
        <f>+Alloc!M345</f>
        <v>8.09E-2</v>
      </c>
    </row>
    <row r="67" spans="1:5" ht="14.1" customHeight="1">
      <c r="A67" s="5" t="s">
        <v>326</v>
      </c>
      <c r="C67" s="223">
        <f>+Alloc!O344</f>
        <v>1511356</v>
      </c>
      <c r="E67" s="458">
        <f>+Alloc!O345</f>
        <v>3.5099999999999999E-2</v>
      </c>
    </row>
    <row r="68" spans="1:5" ht="14.1" customHeight="1">
      <c r="A68" s="5" t="s">
        <v>327</v>
      </c>
      <c r="C68" s="223">
        <f>+Alloc!Q344</f>
        <v>1122219</v>
      </c>
      <c r="E68" s="458">
        <f>+Alloc!Q345</f>
        <v>2.5999999999999999E-2</v>
      </c>
    </row>
    <row r="69" spans="1:5" ht="14.1" customHeight="1">
      <c r="A69" s="5" t="s">
        <v>626</v>
      </c>
      <c r="C69" s="223">
        <f>+Alloc!S344</f>
        <v>3548334</v>
      </c>
      <c r="E69" s="458">
        <f>+Alloc!S345</f>
        <v>8.2299999999999998E-2</v>
      </c>
    </row>
    <row r="70" spans="1:5" ht="14.1" customHeight="1">
      <c r="A70" s="5" t="s">
        <v>428</v>
      </c>
      <c r="C70" s="223">
        <f>+Alloc!U344</f>
        <v>141136</v>
      </c>
      <c r="E70" s="458">
        <f>+Alloc!U345</f>
        <v>3.3E-3</v>
      </c>
    </row>
    <row r="71" spans="1:5" ht="14.1" customHeight="1">
      <c r="A71" s="11" t="s">
        <v>255</v>
      </c>
      <c r="C71" s="283"/>
      <c r="E71" s="390"/>
    </row>
    <row r="72" spans="1:5" ht="14.1" customHeight="1">
      <c r="A72" s="5" t="s">
        <v>324</v>
      </c>
      <c r="B72" s="5"/>
      <c r="C72" s="223">
        <f>+Alloc!W344</f>
        <v>19756045</v>
      </c>
      <c r="E72" s="390">
        <f>+Alloc!W345</f>
        <v>0.45810000000000001</v>
      </c>
    </row>
    <row r="73" spans="1:5" ht="14.1" customHeight="1">
      <c r="A73" s="5" t="s">
        <v>325</v>
      </c>
      <c r="B73" s="5"/>
      <c r="C73" s="223">
        <f>+Alloc!Y344</f>
        <v>2708487</v>
      </c>
      <c r="D73" s="5"/>
      <c r="E73" s="390">
        <f>+Alloc!Y345</f>
        <v>6.2799999999999995E-2</v>
      </c>
    </row>
    <row r="74" spans="1:5" ht="14.1" customHeight="1">
      <c r="A74" s="5" t="s">
        <v>326</v>
      </c>
      <c r="B74" s="5"/>
      <c r="C74" s="223">
        <f>+Alloc!AA344</f>
        <v>762200</v>
      </c>
      <c r="D74" s="5"/>
      <c r="E74" s="390">
        <f>+Alloc!AA345</f>
        <v>1.77E-2</v>
      </c>
    </row>
    <row r="75" spans="1:5" ht="14.1" customHeight="1">
      <c r="A75" s="5" t="s">
        <v>327</v>
      </c>
      <c r="B75" s="5"/>
      <c r="C75" s="223">
        <f>+Alloc!AC344</f>
        <v>568767</v>
      </c>
      <c r="D75" s="5"/>
      <c r="E75" s="390">
        <f>+Alloc!AC345</f>
        <v>1.32E-2</v>
      </c>
    </row>
    <row r="76" spans="1:5" ht="14.1" customHeight="1">
      <c r="A76" s="5" t="s">
        <v>626</v>
      </c>
      <c r="B76" s="5"/>
      <c r="C76" s="223">
        <f>+Alloc!AE344</f>
        <v>133121</v>
      </c>
      <c r="D76" s="5"/>
      <c r="E76" s="390">
        <f>+Alloc!AE345</f>
        <v>3.0999999999999999E-3</v>
      </c>
    </row>
    <row r="77" spans="1:5" ht="14.1" customHeight="1">
      <c r="A77" s="5" t="s">
        <v>428</v>
      </c>
      <c r="B77" s="5"/>
      <c r="C77" s="224">
        <f>+Alloc!AG344</f>
        <v>157970</v>
      </c>
      <c r="D77" s="5"/>
      <c r="E77" s="459">
        <f>+Alloc!AG345</f>
        <v>3.7000000000000002E-3</v>
      </c>
    </row>
    <row r="78" spans="1:5" ht="15.6" customHeight="1" thickBot="1">
      <c r="A78" s="5" t="s">
        <v>176</v>
      </c>
      <c r="B78" s="5"/>
      <c r="C78" s="457">
        <f>SUM(C65:C77)</f>
        <v>43115001</v>
      </c>
      <c r="D78" s="5"/>
      <c r="E78" s="458">
        <f>SUM(E65:E77)</f>
        <v>1</v>
      </c>
    </row>
    <row r="79" spans="1:5" ht="14.1" customHeight="1" thickTop="1">
      <c r="B79" s="5"/>
      <c r="C79" s="15"/>
      <c r="D79" s="5"/>
      <c r="E79" s="15"/>
    </row>
    <row r="80" spans="1:5" ht="14.1" customHeight="1">
      <c r="A80" s="2" t="s">
        <v>635</v>
      </c>
      <c r="B80" s="6"/>
      <c r="C80" s="6"/>
      <c r="D80" s="6"/>
      <c r="E80" s="6"/>
    </row>
    <row r="81" spans="1:5" ht="10.9" customHeight="1">
      <c r="A81" s="3"/>
      <c r="B81" s="3"/>
      <c r="C81" s="3"/>
      <c r="D81" s="3"/>
      <c r="E81" s="3"/>
    </row>
    <row r="82" spans="1:5" ht="14.1" customHeight="1">
      <c r="A82" s="400" t="s">
        <v>170</v>
      </c>
      <c r="B82" s="3"/>
      <c r="C82" s="3"/>
      <c r="D82" s="3"/>
      <c r="E82" s="3"/>
    </row>
    <row r="83" spans="1:5" ht="12" customHeight="1">
      <c r="A83" s="5"/>
      <c r="B83" s="5"/>
      <c r="C83" s="5"/>
      <c r="D83" s="5"/>
      <c r="E83" s="5"/>
    </row>
    <row r="84" spans="1:5" ht="14.1" customHeight="1">
      <c r="A84" s="5" t="s">
        <v>206</v>
      </c>
      <c r="B84" s="5"/>
      <c r="C84" s="5"/>
      <c r="D84" s="5"/>
      <c r="E84" s="5"/>
    </row>
    <row r="85" spans="1:5" ht="7.9" customHeight="1">
      <c r="A85" s="5"/>
      <c r="B85" s="5"/>
      <c r="C85" s="5"/>
      <c r="D85" s="5"/>
      <c r="E85" s="5"/>
    </row>
    <row r="86" spans="1:5" ht="14.1" customHeight="1">
      <c r="A86" s="5" t="s">
        <v>137</v>
      </c>
    </row>
    <row r="87" spans="1:5" ht="16.5" customHeight="1">
      <c r="A87" s="5" t="s">
        <v>460</v>
      </c>
    </row>
    <row r="88" spans="1:5" ht="4.9000000000000004" customHeight="1">
      <c r="A88" s="5"/>
    </row>
    <row r="89" spans="1:5" ht="8.25" customHeight="1">
      <c r="A89" s="30"/>
      <c r="B89" s="29"/>
      <c r="C89" s="29"/>
      <c r="D89" s="29"/>
      <c r="E89" s="29"/>
    </row>
    <row r="90" spans="1:5" ht="12" customHeight="1">
      <c r="A90" s="3" t="s">
        <v>171</v>
      </c>
      <c r="B90" s="5"/>
      <c r="C90" s="8" t="s">
        <v>212</v>
      </c>
      <c r="D90" s="5"/>
      <c r="E90" s="8" t="s">
        <v>180</v>
      </c>
    </row>
    <row r="91" spans="1:5" ht="13.5" customHeight="1">
      <c r="A91" s="3" t="s">
        <v>172</v>
      </c>
      <c r="B91" s="5"/>
      <c r="C91" s="8" t="s">
        <v>208</v>
      </c>
      <c r="D91" s="5"/>
      <c r="E91" s="8" t="s">
        <v>186</v>
      </c>
    </row>
    <row r="92" spans="1:5" ht="12.6" customHeight="1">
      <c r="A92" s="9" t="s">
        <v>173</v>
      </c>
      <c r="B92" s="5"/>
      <c r="C92" s="10" t="s">
        <v>181</v>
      </c>
      <c r="D92" s="5"/>
      <c r="E92" s="10" t="s">
        <v>195</v>
      </c>
    </row>
    <row r="93" spans="1:5" ht="13.15" customHeight="1">
      <c r="A93" s="11" t="s">
        <v>254</v>
      </c>
      <c r="B93" s="5"/>
      <c r="C93" s="5"/>
      <c r="D93" s="5"/>
      <c r="E93" s="5"/>
    </row>
    <row r="94" spans="1:5" ht="13.15" customHeight="1">
      <c r="A94" s="5" t="s">
        <v>324</v>
      </c>
      <c r="B94" s="5"/>
      <c r="C94" s="457">
        <f>+Alloc!K346</f>
        <v>4136689</v>
      </c>
      <c r="D94" s="5"/>
      <c r="E94" s="458">
        <f>+Alloc!K347</f>
        <v>0.19259999999999999</v>
      </c>
    </row>
    <row r="95" spans="1:5" ht="13.15" customHeight="1">
      <c r="A95" s="5" t="s">
        <v>325</v>
      </c>
      <c r="B95" s="5"/>
      <c r="C95" s="223">
        <f>+Alloc!M346</f>
        <v>1673918</v>
      </c>
      <c r="D95" s="5"/>
      <c r="E95" s="458">
        <f>+Alloc!M347</f>
        <v>7.7899999999999997E-2</v>
      </c>
    </row>
    <row r="96" spans="1:5" ht="13.15" customHeight="1">
      <c r="A96" s="5" t="s">
        <v>326</v>
      </c>
      <c r="B96" s="5"/>
      <c r="C96" s="223">
        <f>+Alloc!O346</f>
        <v>727562</v>
      </c>
      <c r="D96" s="5"/>
      <c r="E96" s="458">
        <f>+Alloc!O347</f>
        <v>3.39E-2</v>
      </c>
    </row>
    <row r="97" spans="1:5" ht="13.15" customHeight="1">
      <c r="A97" s="5" t="s">
        <v>327</v>
      </c>
      <c r="B97" s="5"/>
      <c r="C97" s="223">
        <f>+Alloc!Q346</f>
        <v>539854</v>
      </c>
      <c r="D97" s="5"/>
      <c r="E97" s="458">
        <f>+Alloc!Q347</f>
        <v>2.5100000000000001E-2</v>
      </c>
    </row>
    <row r="98" spans="1:5" ht="13.15" customHeight="1">
      <c r="A98" s="5" t="s">
        <v>626</v>
      </c>
      <c r="B98" s="5"/>
      <c r="C98" s="223">
        <f>+Alloc!S407</f>
        <v>1745347</v>
      </c>
      <c r="D98" s="5"/>
      <c r="E98" s="458">
        <f>+Alloc!S347</f>
        <v>8.1299999999999997E-2</v>
      </c>
    </row>
    <row r="99" spans="1:5" ht="13.15" customHeight="1">
      <c r="A99" s="5" t="s">
        <v>428</v>
      </c>
      <c r="B99" s="5"/>
      <c r="C99" s="223">
        <f>+Alloc!U346</f>
        <v>68011</v>
      </c>
      <c r="D99" s="5"/>
      <c r="E99" s="458">
        <f>+Alloc!U347</f>
        <v>3.2000000000000002E-3</v>
      </c>
    </row>
    <row r="100" spans="1:5" ht="13.15" customHeight="1">
      <c r="A100" s="11" t="s">
        <v>255</v>
      </c>
      <c r="B100" s="5"/>
      <c r="C100" s="223"/>
      <c r="D100" s="5"/>
      <c r="E100" s="390"/>
    </row>
    <row r="101" spans="1:5" ht="13.15" customHeight="1">
      <c r="A101" s="5" t="s">
        <v>324</v>
      </c>
      <c r="C101" s="223">
        <f>+Alloc!W407</f>
        <v>9499991</v>
      </c>
      <c r="E101" s="390">
        <f>+Alloc!W347</f>
        <v>0.44220000000000004</v>
      </c>
    </row>
    <row r="102" spans="1:5" ht="13.15" customHeight="1">
      <c r="A102" s="5" t="s">
        <v>325</v>
      </c>
      <c r="C102" s="223">
        <f>+Alloc!Y407</f>
        <v>1784605</v>
      </c>
      <c r="E102" s="390">
        <f>+Alloc!Y347</f>
        <v>8.3099999999999993E-2</v>
      </c>
    </row>
    <row r="103" spans="1:5" ht="13.15" customHeight="1">
      <c r="A103" s="5" t="s">
        <v>326</v>
      </c>
      <c r="C103" s="223">
        <f>+Alloc!AA407</f>
        <v>511808</v>
      </c>
      <c r="E103" s="390">
        <f>+Alloc!AA347</f>
        <v>2.3800000000000002E-2</v>
      </c>
    </row>
    <row r="104" spans="1:5" ht="13.15" customHeight="1">
      <c r="A104" s="5" t="s">
        <v>327</v>
      </c>
      <c r="C104" s="223">
        <f>+Alloc!AC407</f>
        <v>519492</v>
      </c>
      <c r="E104" s="390">
        <f>+Alloc!AC347</f>
        <v>2.4199999999999999E-2</v>
      </c>
    </row>
    <row r="105" spans="1:5" ht="13.15" customHeight="1">
      <c r="A105" s="5" t="s">
        <v>626</v>
      </c>
      <c r="C105" s="223">
        <f>+Alloc!AE407</f>
        <v>126951</v>
      </c>
      <c r="E105" s="390">
        <f>+Alloc!AE347</f>
        <v>5.8999999999999999E-3</v>
      </c>
    </row>
    <row r="106" spans="1:5" ht="13.15" customHeight="1">
      <c r="A106" s="5" t="s">
        <v>428</v>
      </c>
      <c r="C106" s="224">
        <f>+Alloc!AG346</f>
        <v>145781</v>
      </c>
      <c r="E106" s="459">
        <f>+Alloc!AG347</f>
        <v>6.7999999999999996E-3</v>
      </c>
    </row>
    <row r="107" spans="1:5" ht="16.899999999999999" customHeight="1" thickBot="1">
      <c r="A107" s="5" t="s">
        <v>176</v>
      </c>
      <c r="C107" s="457">
        <f>SUM(C94:C106)</f>
        <v>21480009</v>
      </c>
      <c r="E107" s="458">
        <f>+SUM(E94:E106)</f>
        <v>1</v>
      </c>
    </row>
    <row r="108" spans="1:5" ht="9" customHeight="1" thickTop="1">
      <c r="C108" s="24"/>
      <c r="E108" s="24"/>
    </row>
    <row r="109" spans="1:5" ht="13.15" customHeight="1"/>
    <row r="110" spans="1:5" ht="13.15" customHeight="1">
      <c r="A110" s="5" t="s">
        <v>154</v>
      </c>
    </row>
    <row r="111" spans="1:5" ht="13.15" customHeight="1">
      <c r="A111" s="5" t="s">
        <v>155</v>
      </c>
    </row>
    <row r="112" spans="1:5" ht="13.15" customHeight="1"/>
    <row r="113" spans="1:5" ht="13.15" customHeight="1">
      <c r="A113" s="5" t="s">
        <v>138</v>
      </c>
      <c r="B113" s="5"/>
      <c r="C113" s="5"/>
      <c r="D113" s="5"/>
      <c r="E113" s="5"/>
    </row>
    <row r="114" spans="1:5" ht="13.15" customHeight="1">
      <c r="A114" s="5" t="s">
        <v>139</v>
      </c>
      <c r="B114" s="5"/>
      <c r="C114" s="5"/>
      <c r="D114" s="5"/>
      <c r="E114" s="5"/>
    </row>
    <row r="115" spans="1:5" ht="7.15" customHeight="1">
      <c r="A115" s="5"/>
      <c r="B115" s="5"/>
      <c r="C115" s="5"/>
      <c r="D115" s="5"/>
      <c r="E115" s="5"/>
    </row>
    <row r="116" spans="1:5" ht="13.15" customHeight="1">
      <c r="A116" s="5"/>
      <c r="B116" s="5"/>
      <c r="C116" s="8" t="s">
        <v>201</v>
      </c>
      <c r="D116" s="5"/>
      <c r="E116" s="5"/>
    </row>
    <row r="117" spans="1:5" ht="13.15" customHeight="1">
      <c r="A117" s="3" t="s">
        <v>171</v>
      </c>
      <c r="B117" s="5"/>
      <c r="C117" s="8" t="s">
        <v>213</v>
      </c>
      <c r="D117" s="5"/>
      <c r="E117" s="8" t="s">
        <v>180</v>
      </c>
    </row>
    <row r="118" spans="1:5" ht="13.15" customHeight="1">
      <c r="A118" s="3" t="s">
        <v>172</v>
      </c>
      <c r="B118" s="5"/>
      <c r="C118" s="8" t="s">
        <v>214</v>
      </c>
      <c r="D118" s="5"/>
      <c r="E118" s="8" t="s">
        <v>186</v>
      </c>
    </row>
    <row r="119" spans="1:5" ht="13.15" customHeight="1">
      <c r="A119" s="9" t="s">
        <v>173</v>
      </c>
      <c r="B119" s="5"/>
      <c r="C119" s="10" t="s">
        <v>181</v>
      </c>
      <c r="D119" s="5"/>
      <c r="E119" s="10" t="s">
        <v>195</v>
      </c>
    </row>
    <row r="120" spans="1:5" ht="13.15" customHeight="1">
      <c r="A120" s="11" t="s">
        <v>254</v>
      </c>
      <c r="B120" s="5"/>
      <c r="C120" s="5"/>
      <c r="D120" s="5"/>
      <c r="E120" s="5"/>
    </row>
    <row r="121" spans="1:5" ht="13.15" customHeight="1">
      <c r="A121" s="5" t="s">
        <v>324</v>
      </c>
      <c r="B121" s="5"/>
      <c r="C121" s="457">
        <f>+Alloc!K348</f>
        <v>212642719</v>
      </c>
      <c r="D121" s="5"/>
      <c r="E121" s="458">
        <f>+Alloc!K349</f>
        <v>0.31540000000000001</v>
      </c>
    </row>
    <row r="122" spans="1:5" ht="13.15" customHeight="1">
      <c r="A122" s="5" t="s">
        <v>325</v>
      </c>
      <c r="B122" s="5"/>
      <c r="C122" s="223">
        <f>+Alloc!M348</f>
        <v>87747178</v>
      </c>
      <c r="D122" s="5"/>
      <c r="E122" s="458">
        <f>+Alloc!M349</f>
        <v>0.13009999999999999</v>
      </c>
    </row>
    <row r="123" spans="1:5" ht="13.15" customHeight="1">
      <c r="A123" s="5" t="s">
        <v>326</v>
      </c>
      <c r="B123" s="5"/>
      <c r="C123" s="223">
        <f>+Alloc!O348</f>
        <v>37631974</v>
      </c>
      <c r="D123" s="5"/>
      <c r="E123" s="458">
        <f>+Alloc!O349</f>
        <v>5.5800000000000002E-2</v>
      </c>
    </row>
    <row r="124" spans="1:5" ht="13.15" customHeight="1">
      <c r="A124" s="5" t="s">
        <v>327</v>
      </c>
      <c r="B124" s="5"/>
      <c r="C124" s="223">
        <f>+Alloc!Q348</f>
        <v>27949871</v>
      </c>
      <c r="D124" s="5"/>
      <c r="E124" s="458">
        <f>+Alloc!Q349</f>
        <v>4.1500000000000002E-2</v>
      </c>
    </row>
    <row r="125" spans="1:5" ht="13.15" customHeight="1">
      <c r="A125" s="5" t="s">
        <v>626</v>
      </c>
      <c r="B125" s="5"/>
      <c r="C125" s="223">
        <f>+Alloc!S348</f>
        <v>58603266.149673641</v>
      </c>
      <c r="D125" s="5"/>
      <c r="E125" s="458">
        <f>+Alloc!S349</f>
        <v>8.6900000000000005E-2</v>
      </c>
    </row>
    <row r="126" spans="1:5" ht="13.15" customHeight="1">
      <c r="A126" s="5" t="s">
        <v>428</v>
      </c>
      <c r="B126" s="5"/>
      <c r="C126" s="223">
        <f>+Alloc!U348</f>
        <v>3505807</v>
      </c>
      <c r="D126" s="5"/>
      <c r="E126" s="458">
        <f>+Alloc!U349</f>
        <v>5.1999999999999998E-3</v>
      </c>
    </row>
    <row r="127" spans="1:5" ht="13.15" customHeight="1">
      <c r="A127" s="11" t="s">
        <v>255</v>
      </c>
      <c r="B127" s="5"/>
      <c r="C127" s="223"/>
      <c r="E127" s="390"/>
    </row>
    <row r="128" spans="1:5" ht="13.15" customHeight="1">
      <c r="A128" s="5" t="s">
        <v>324</v>
      </c>
      <c r="C128" s="223">
        <f>+Alloc!W348</f>
        <v>194846048</v>
      </c>
      <c r="D128" s="5"/>
      <c r="E128" s="390">
        <f>+Alloc!W349</f>
        <v>0.28889999999999999</v>
      </c>
    </row>
    <row r="129" spans="1:5" ht="13.15" customHeight="1">
      <c r="A129" s="5" t="s">
        <v>325</v>
      </c>
      <c r="C129" s="223">
        <f>+Alloc!Y348</f>
        <v>34362984</v>
      </c>
      <c r="E129" s="390">
        <f>+Alloc!Y349</f>
        <v>5.0999999999999997E-2</v>
      </c>
    </row>
    <row r="130" spans="1:5" ht="13.15" customHeight="1">
      <c r="A130" s="5" t="s">
        <v>326</v>
      </c>
      <c r="C130" s="223">
        <f>+Alloc!AA348</f>
        <v>6544349</v>
      </c>
      <c r="E130" s="390">
        <f>+Alloc!AA349</f>
        <v>9.7000000000000003E-3</v>
      </c>
    </row>
    <row r="131" spans="1:5" ht="13.15" customHeight="1">
      <c r="A131" s="5" t="s">
        <v>327</v>
      </c>
      <c r="C131" s="223">
        <f>+Alloc!AC348</f>
        <v>6823162</v>
      </c>
      <c r="E131" s="390">
        <f>+Alloc!AC349</f>
        <v>1.01E-2</v>
      </c>
    </row>
    <row r="132" spans="1:5" ht="13.15" customHeight="1">
      <c r="A132" s="5" t="s">
        <v>626</v>
      </c>
      <c r="C132" s="223">
        <f>+Alloc!AE348</f>
        <v>1723273</v>
      </c>
      <c r="E132" s="390">
        <f>+Alloc!AE349</f>
        <v>2.5999999999999999E-3</v>
      </c>
    </row>
    <row r="133" spans="1:5" ht="13.15" customHeight="1">
      <c r="A133" s="5" t="s">
        <v>428</v>
      </c>
      <c r="C133" s="224">
        <f>+Alloc!AG348</f>
        <v>1910828</v>
      </c>
      <c r="E133" s="459">
        <f>+Alloc!AG349</f>
        <v>2.8E-3</v>
      </c>
    </row>
    <row r="134" spans="1:5" ht="18.600000000000001" customHeight="1" thickBot="1">
      <c r="A134" s="5" t="s">
        <v>176</v>
      </c>
      <c r="C134" s="638">
        <f>SUM(C121:C133)</f>
        <v>674291459.1496737</v>
      </c>
      <c r="E134" s="639">
        <f>SUM(E121:E133)</f>
        <v>1</v>
      </c>
    </row>
    <row r="135" spans="1:5" ht="15.75" thickTop="1"/>
  </sheetData>
  <phoneticPr fontId="10" type="noConversion"/>
  <printOptions horizontalCentered="1"/>
  <pageMargins left="0.9" right="0.65" top="1" bottom="0.2" header="0" footer="0"/>
  <pageSetup orientation="portrait" r:id="rId1"/>
  <headerFooter alignWithMargins="0"/>
  <rowBreaks count="2" manualBreakCount="2">
    <brk id="51" max="4" man="1"/>
    <brk id="79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177"/>
  <sheetViews>
    <sheetView workbookViewId="0"/>
  </sheetViews>
  <sheetFormatPr defaultColWidth="9.6640625" defaultRowHeight="15"/>
  <cols>
    <col min="1" max="1" width="18.6640625" style="1" customWidth="1"/>
    <col min="2" max="2" width="9.44140625" style="1" customWidth="1"/>
    <col min="3" max="3" width="12.6640625" style="1" customWidth="1"/>
    <col min="4" max="4" width="12.77734375" style="1" customWidth="1"/>
    <col min="5" max="5" width="10.6640625" style="1" customWidth="1"/>
    <col min="6" max="7" width="9.6640625" style="1" customWidth="1"/>
    <col min="8" max="8" width="10" style="1" bestFit="1" customWidth="1"/>
    <col min="9" max="9" width="9.6640625" style="1" customWidth="1"/>
    <col min="10" max="10" width="10" style="1" bestFit="1" customWidth="1"/>
    <col min="11" max="16384" width="9.6640625" style="1"/>
  </cols>
  <sheetData>
    <row r="1" spans="1:5">
      <c r="A1" s="2" t="s">
        <v>635</v>
      </c>
      <c r="B1" s="31"/>
      <c r="C1" s="31"/>
      <c r="D1" s="31"/>
      <c r="E1" s="31"/>
    </row>
    <row r="2" spans="1:5" ht="11.45" customHeight="1">
      <c r="A2" s="106"/>
      <c r="B2" s="3"/>
      <c r="C2" s="3"/>
      <c r="D2" s="3"/>
      <c r="E2" s="3"/>
    </row>
    <row r="3" spans="1:5">
      <c r="A3" s="400" t="s">
        <v>170</v>
      </c>
      <c r="B3" s="3"/>
      <c r="C3" s="3"/>
      <c r="D3" s="3"/>
      <c r="E3" s="3"/>
    </row>
    <row r="4" spans="1:5" ht="9" customHeight="1">
      <c r="A4" s="5"/>
      <c r="B4" s="5"/>
      <c r="C4" s="5"/>
      <c r="D4" s="5"/>
      <c r="E4" s="5"/>
    </row>
    <row r="5" spans="1:5">
      <c r="A5" s="5" t="s">
        <v>215</v>
      </c>
      <c r="B5" s="5"/>
      <c r="C5" s="5"/>
      <c r="D5" s="5"/>
      <c r="E5" s="5"/>
    </row>
    <row r="6" spans="1:5" ht="5.25" customHeight="1">
      <c r="A6" s="5"/>
      <c r="B6" s="5"/>
      <c r="C6" s="5"/>
      <c r="D6" s="5"/>
      <c r="E6" s="5"/>
    </row>
    <row r="7" spans="1:5">
      <c r="A7" s="5" t="s">
        <v>134</v>
      </c>
      <c r="B7" s="5"/>
      <c r="C7" s="5"/>
      <c r="D7" s="5"/>
      <c r="E7" s="5"/>
    </row>
    <row r="8" spans="1:5">
      <c r="A8" s="5" t="s">
        <v>706</v>
      </c>
      <c r="B8" s="5"/>
      <c r="C8" s="5"/>
      <c r="D8" s="5"/>
      <c r="E8" s="5"/>
    </row>
    <row r="9" spans="1:5" ht="8.25" customHeight="1">
      <c r="A9" s="5"/>
      <c r="B9" s="5"/>
      <c r="C9" s="5"/>
      <c r="D9" s="5"/>
      <c r="E9" s="5"/>
    </row>
    <row r="10" spans="1:5" ht="13.15" customHeight="1">
      <c r="A10" s="5"/>
      <c r="B10" s="5"/>
      <c r="C10" s="8" t="s">
        <v>201</v>
      </c>
      <c r="D10" s="5"/>
      <c r="E10" s="5"/>
    </row>
    <row r="11" spans="1:5" ht="13.15" customHeight="1">
      <c r="A11" s="3" t="s">
        <v>171</v>
      </c>
      <c r="B11" s="5"/>
      <c r="C11" s="8" t="s">
        <v>213</v>
      </c>
      <c r="D11" s="5"/>
      <c r="E11" s="8" t="s">
        <v>180</v>
      </c>
    </row>
    <row r="12" spans="1:5" ht="13.15" customHeight="1">
      <c r="A12" s="3" t="s">
        <v>172</v>
      </c>
      <c r="B12" s="5"/>
      <c r="C12" s="8" t="s">
        <v>214</v>
      </c>
      <c r="D12" s="5"/>
      <c r="E12" s="8" t="s">
        <v>186</v>
      </c>
    </row>
    <row r="13" spans="1:5" ht="13.15" customHeight="1">
      <c r="A13" s="9" t="s">
        <v>173</v>
      </c>
      <c r="B13" s="5"/>
      <c r="C13" s="10" t="s">
        <v>181</v>
      </c>
      <c r="D13" s="5"/>
      <c r="E13" s="10" t="s">
        <v>195</v>
      </c>
    </row>
    <row r="14" spans="1:5" ht="13.15" customHeight="1">
      <c r="A14" s="11" t="s">
        <v>254</v>
      </c>
      <c r="B14" s="5"/>
      <c r="C14" s="5"/>
      <c r="D14" s="5"/>
      <c r="E14" s="5"/>
    </row>
    <row r="15" spans="1:5" ht="13.15" customHeight="1">
      <c r="A15" s="5" t="s">
        <v>324</v>
      </c>
      <c r="B15" s="5"/>
      <c r="C15" s="457">
        <f>+Alloc!K350</f>
        <v>175325648</v>
      </c>
      <c r="D15" s="5"/>
      <c r="E15" s="486">
        <f>+Alloc!K351</f>
        <v>0.31530000000000002</v>
      </c>
    </row>
    <row r="16" spans="1:5" ht="13.15" customHeight="1">
      <c r="A16" s="5" t="s">
        <v>325</v>
      </c>
      <c r="B16" s="5"/>
      <c r="C16" s="223">
        <f>+Alloc!M350</f>
        <v>72354183</v>
      </c>
      <c r="D16" s="5"/>
      <c r="E16" s="458">
        <f>+Alloc!M351</f>
        <v>0.13009999999999999</v>
      </c>
    </row>
    <row r="17" spans="1:5" ht="13.15" customHeight="1">
      <c r="A17" s="5" t="s">
        <v>326</v>
      </c>
      <c r="B17" s="5"/>
      <c r="C17" s="223">
        <f>+Alloc!O350</f>
        <v>31029906</v>
      </c>
      <c r="D17" s="5"/>
      <c r="E17" s="458">
        <f>+Alloc!O351</f>
        <v>5.5800000000000002E-2</v>
      </c>
    </row>
    <row r="18" spans="1:5" ht="13.15" customHeight="1">
      <c r="A18" s="5" t="s">
        <v>327</v>
      </c>
      <c r="B18" s="5"/>
      <c r="C18" s="223">
        <f>+Alloc!Q350</f>
        <v>23039730</v>
      </c>
      <c r="D18" s="5"/>
      <c r="E18" s="458">
        <f>+Alloc!Q351</f>
        <v>4.1399999999999999E-2</v>
      </c>
    </row>
    <row r="19" spans="1:5" ht="13.15" customHeight="1">
      <c r="A19" s="5" t="s">
        <v>626</v>
      </c>
      <c r="B19" s="5"/>
      <c r="C19" s="223">
        <f>+Alloc!S350</f>
        <v>48321549.149673641</v>
      </c>
      <c r="D19" s="5"/>
      <c r="E19" s="458">
        <f>ROUND(+C19/$C$29,4)</f>
        <v>8.6900000000000005E-2</v>
      </c>
    </row>
    <row r="20" spans="1:5" ht="13.15" customHeight="1">
      <c r="A20" s="5" t="s">
        <v>428</v>
      </c>
      <c r="B20" s="5"/>
      <c r="C20" s="223">
        <f>+Alloc!U350</f>
        <v>2890560</v>
      </c>
      <c r="D20" s="5"/>
      <c r="E20" s="458">
        <f>+Alloc!U351</f>
        <v>5.1999999999999998E-3</v>
      </c>
    </row>
    <row r="21" spans="1:5" ht="13.15" customHeight="1">
      <c r="A21" s="11" t="s">
        <v>255</v>
      </c>
      <c r="B21" s="5"/>
      <c r="C21" s="223"/>
      <c r="D21" s="5"/>
      <c r="E21" s="458"/>
    </row>
    <row r="22" spans="1:5" ht="13.15" customHeight="1">
      <c r="A22" s="5" t="s">
        <v>324</v>
      </c>
      <c r="B22" s="5"/>
      <c r="C22" s="223">
        <f>+Alloc!W350</f>
        <v>160664368</v>
      </c>
      <c r="D22" s="5"/>
      <c r="E22" s="458">
        <f>+Alloc!W351</f>
        <v>0.28919999999999996</v>
      </c>
    </row>
    <row r="23" spans="1:5" ht="13.15" customHeight="1">
      <c r="A23" s="5" t="s">
        <v>325</v>
      </c>
      <c r="B23" s="5"/>
      <c r="C23" s="223">
        <f>+Alloc!Y350</f>
        <v>28328835</v>
      </c>
      <c r="D23" s="5"/>
      <c r="E23" s="458">
        <f>+Alloc!Y351</f>
        <v>5.0999999999999997E-2</v>
      </c>
    </row>
    <row r="24" spans="1:5" ht="13.15" customHeight="1">
      <c r="A24" s="5" t="s">
        <v>326</v>
      </c>
      <c r="B24" s="5"/>
      <c r="C24" s="223">
        <f>+Alloc!AA350</f>
        <v>5396678</v>
      </c>
      <c r="D24" s="5"/>
      <c r="E24" s="458">
        <f>+Alloc!AA351</f>
        <v>9.7000000000000003E-3</v>
      </c>
    </row>
    <row r="25" spans="1:5" ht="13.15" customHeight="1">
      <c r="A25" s="5" t="s">
        <v>327</v>
      </c>
      <c r="B25" s="5"/>
      <c r="C25" s="223">
        <f>+Alloc!AC350</f>
        <v>5628164</v>
      </c>
      <c r="D25" s="5"/>
      <c r="E25" s="458">
        <f>+Alloc!AC351</f>
        <v>1.01E-2</v>
      </c>
    </row>
    <row r="26" spans="1:5" ht="13.15" customHeight="1">
      <c r="A26" s="5" t="s">
        <v>626</v>
      </c>
      <c r="B26" s="5"/>
      <c r="C26" s="223">
        <f>+Alloc!AE350</f>
        <v>1415649</v>
      </c>
      <c r="D26" s="5"/>
      <c r="E26" s="458">
        <f>+Alloc!AE351</f>
        <v>2.5000000000000001E-3</v>
      </c>
    </row>
    <row r="27" spans="1:5" ht="13.15" customHeight="1">
      <c r="A27" s="5" t="s">
        <v>428</v>
      </c>
      <c r="B27" s="5"/>
      <c r="C27" s="223">
        <f>+Alloc!AG350</f>
        <v>1579541</v>
      </c>
      <c r="D27" s="5"/>
      <c r="E27" s="458">
        <f>+Alloc!AG351</f>
        <v>2.8E-3</v>
      </c>
    </row>
    <row r="28" spans="1:5" ht="7.9" customHeight="1">
      <c r="B28" s="5"/>
      <c r="C28" s="485"/>
      <c r="D28" s="5"/>
      <c r="E28" s="487"/>
    </row>
    <row r="29" spans="1:5" ht="13.15" customHeight="1">
      <c r="A29" s="5" t="s">
        <v>176</v>
      </c>
      <c r="C29" s="457">
        <f>SUM(C15:C27)</f>
        <v>555974811.1496737</v>
      </c>
      <c r="E29" s="458">
        <f>SUM(E15:E27)</f>
        <v>1</v>
      </c>
    </row>
    <row r="30" spans="1:5" ht="9.6" customHeight="1">
      <c r="C30" s="24"/>
      <c r="E30" s="488"/>
    </row>
    <row r="31" spans="1:5" ht="5.45" customHeight="1"/>
    <row r="32" spans="1:5" ht="13.15" customHeight="1">
      <c r="A32" s="5" t="s">
        <v>135</v>
      </c>
      <c r="B32" s="5"/>
      <c r="C32" s="5"/>
      <c r="D32" s="5"/>
      <c r="E32" s="5"/>
    </row>
    <row r="33" spans="1:5" ht="13.15" customHeight="1">
      <c r="A33" s="5" t="s">
        <v>136</v>
      </c>
      <c r="B33" s="5"/>
      <c r="C33" s="5"/>
      <c r="D33" s="5"/>
      <c r="E33" s="5"/>
    </row>
    <row r="34" spans="1:5" ht="9.6" customHeight="1">
      <c r="A34" s="5"/>
      <c r="B34" s="5"/>
      <c r="C34" s="5"/>
      <c r="D34" s="5"/>
      <c r="E34" s="5"/>
    </row>
    <row r="35" spans="1:5" ht="13.15" customHeight="1">
      <c r="A35" s="5" t="s">
        <v>625</v>
      </c>
      <c r="B35" s="6"/>
      <c r="C35" s="6"/>
      <c r="D35" s="6"/>
      <c r="E35" s="6"/>
    </row>
    <row r="36" spans="1:5" ht="6.6" customHeight="1">
      <c r="A36" s="5"/>
      <c r="B36" s="5"/>
      <c r="C36" s="5"/>
      <c r="D36" s="5"/>
      <c r="E36" s="5"/>
    </row>
    <row r="37" spans="1:5" ht="13.15" customHeight="1">
      <c r="A37" s="5"/>
      <c r="C37" s="8" t="s">
        <v>178</v>
      </c>
      <c r="D37" s="5"/>
      <c r="E37" s="5"/>
    </row>
    <row r="38" spans="1:5" ht="13.15" customHeight="1">
      <c r="A38" s="3" t="s">
        <v>171</v>
      </c>
      <c r="C38" s="8" t="s">
        <v>216</v>
      </c>
      <c r="E38" s="8" t="s">
        <v>180</v>
      </c>
    </row>
    <row r="39" spans="1:5" ht="13.15" customHeight="1">
      <c r="A39" s="3" t="s">
        <v>172</v>
      </c>
      <c r="C39" s="8" t="s">
        <v>171</v>
      </c>
      <c r="E39" s="8" t="s">
        <v>186</v>
      </c>
    </row>
    <row r="40" spans="1:5" ht="13.15" customHeight="1">
      <c r="A40" s="9" t="s">
        <v>173</v>
      </c>
      <c r="C40" s="10" t="s">
        <v>181</v>
      </c>
      <c r="E40" s="10" t="s">
        <v>195</v>
      </c>
    </row>
    <row r="41" spans="1:5" ht="13.15" customHeight="1">
      <c r="A41" s="11" t="s">
        <v>254</v>
      </c>
      <c r="C41" s="5"/>
      <c r="E41" s="5"/>
    </row>
    <row r="42" spans="1:5" ht="13.15" customHeight="1">
      <c r="A42" s="5" t="s">
        <v>324</v>
      </c>
      <c r="C42" s="457">
        <f>+Alloc!K352</f>
        <v>43541257</v>
      </c>
      <c r="E42" s="486">
        <f>+Alloc!K353</f>
        <v>0.26340000000000002</v>
      </c>
    </row>
    <row r="43" spans="1:5" ht="13.15" customHeight="1">
      <c r="A43" s="5" t="s">
        <v>325</v>
      </c>
      <c r="C43" s="223">
        <f>+Alloc!M352</f>
        <v>17288398</v>
      </c>
      <c r="E43" s="458">
        <f>+Alloc!M353</f>
        <v>0.1046</v>
      </c>
    </row>
    <row r="44" spans="1:5" ht="13.15" customHeight="1">
      <c r="A44" s="5" t="s">
        <v>326</v>
      </c>
      <c r="C44" s="223">
        <f>+Alloc!O352</f>
        <v>7339695</v>
      </c>
      <c r="E44" s="458">
        <f>+Alloc!O353</f>
        <v>4.4400000000000002E-2</v>
      </c>
    </row>
    <row r="45" spans="1:5" ht="13.15" customHeight="1">
      <c r="A45" s="5" t="s">
        <v>327</v>
      </c>
      <c r="C45" s="223">
        <f>+Alloc!Q352</f>
        <v>5445883</v>
      </c>
      <c r="E45" s="458">
        <f>+Alloc!Q353</f>
        <v>3.2899999999999999E-2</v>
      </c>
    </row>
    <row r="46" spans="1:5" ht="13.15" customHeight="1">
      <c r="A46" s="5" t="s">
        <v>626</v>
      </c>
      <c r="C46" s="223">
        <f>+Alloc!S352</f>
        <v>13555205.388671299</v>
      </c>
      <c r="E46" s="458">
        <f>+Alloc!S353</f>
        <v>8.2000000000000003E-2</v>
      </c>
    </row>
    <row r="47" spans="1:5" ht="13.15" customHeight="1">
      <c r="A47" s="5" t="s">
        <v>428</v>
      </c>
      <c r="C47" s="223">
        <f>+Alloc!U352</f>
        <v>685229</v>
      </c>
      <c r="E47" s="458">
        <f>+Alloc!U353</f>
        <v>4.1000000000000003E-3</v>
      </c>
    </row>
    <row r="48" spans="1:5" ht="13.15" customHeight="1">
      <c r="A48" s="11" t="s">
        <v>255</v>
      </c>
      <c r="B48" s="26"/>
      <c r="C48" s="223"/>
      <c r="D48" s="5"/>
      <c r="E48" s="458"/>
    </row>
    <row r="49" spans="1:7" ht="13.15" customHeight="1">
      <c r="A49" s="5" t="s">
        <v>324</v>
      </c>
      <c r="C49" s="223">
        <f>+Alloc!W352</f>
        <v>62244196</v>
      </c>
      <c r="E49" s="458">
        <f>+Alloc!W353</f>
        <v>0.37640000000000001</v>
      </c>
    </row>
    <row r="50" spans="1:7" ht="13.15" customHeight="1">
      <c r="A50" s="5" t="s">
        <v>325</v>
      </c>
      <c r="C50" s="223">
        <f>+Alloc!Y352</f>
        <v>9865327</v>
      </c>
      <c r="E50" s="458">
        <f>+Alloc!Y353</f>
        <v>5.9700000000000003E-2</v>
      </c>
    </row>
    <row r="51" spans="1:7" ht="13.15" customHeight="1">
      <c r="A51" s="5" t="s">
        <v>326</v>
      </c>
      <c r="C51" s="223">
        <f>+Alloc!AA352</f>
        <v>2336100</v>
      </c>
      <c r="E51" s="458">
        <f>+Alloc!AA353</f>
        <v>1.41E-2</v>
      </c>
    </row>
    <row r="52" spans="1:7" ht="13.15" customHeight="1">
      <c r="A52" s="5" t="s">
        <v>327</v>
      </c>
      <c r="C52" s="223">
        <f>+Alloc!AC352</f>
        <v>2003174</v>
      </c>
      <c r="E52" s="458">
        <f>+Alloc!AC353</f>
        <v>1.21E-2</v>
      </c>
    </row>
    <row r="53" spans="1:7" ht="13.15" customHeight="1">
      <c r="A53" s="5" t="s">
        <v>626</v>
      </c>
      <c r="C53" s="223">
        <f>+Alloc!AE352</f>
        <v>475539</v>
      </c>
      <c r="E53" s="458">
        <f>+Alloc!AE353</f>
        <v>2.8999999999999998E-3</v>
      </c>
    </row>
    <row r="54" spans="1:7" ht="13.15" customHeight="1">
      <c r="A54" s="5" t="s">
        <v>428</v>
      </c>
      <c r="C54" s="223">
        <f>+Alloc!AG352</f>
        <v>555944</v>
      </c>
      <c r="E54" s="458">
        <f>+Alloc!AG353</f>
        <v>3.3999999999999998E-3</v>
      </c>
    </row>
    <row r="55" spans="1:7" ht="7.9" customHeight="1">
      <c r="C55" s="485"/>
      <c r="E55" s="487"/>
    </row>
    <row r="56" spans="1:7" ht="13.15" customHeight="1">
      <c r="A56" s="5" t="s">
        <v>176</v>
      </c>
      <c r="C56" s="457">
        <f>SUM(C42:C54)</f>
        <v>165335947.38867128</v>
      </c>
      <c r="E56" s="458">
        <f>SUM(E42:E54)</f>
        <v>0.99999999999999989</v>
      </c>
    </row>
    <row r="57" spans="1:7" ht="9" customHeight="1">
      <c r="C57" s="24"/>
      <c r="E57" s="488"/>
    </row>
    <row r="58" spans="1:7">
      <c r="A58" s="2" t="s">
        <v>635</v>
      </c>
      <c r="B58" s="3"/>
      <c r="C58" s="3"/>
      <c r="D58" s="3"/>
      <c r="E58" s="3"/>
      <c r="F58" s="17"/>
      <c r="G58" s="17"/>
    </row>
    <row r="59" spans="1:7" ht="9" customHeight="1">
      <c r="A59" s="3"/>
      <c r="B59" s="3"/>
      <c r="C59" s="3"/>
      <c r="D59" s="3"/>
      <c r="E59" s="3"/>
    </row>
    <row r="60" spans="1:7">
      <c r="A60" s="400" t="s">
        <v>170</v>
      </c>
      <c r="B60" s="3"/>
      <c r="C60" s="3"/>
      <c r="D60" s="3"/>
      <c r="E60" s="3"/>
    </row>
    <row r="61" spans="1:7" ht="8.4499999999999993" customHeight="1">
      <c r="A61" s="5"/>
      <c r="B61" s="5"/>
      <c r="C61" s="5"/>
      <c r="D61" s="5"/>
      <c r="E61" s="5"/>
    </row>
    <row r="62" spans="1:7" ht="9.6" customHeight="1">
      <c r="A62" s="5"/>
      <c r="B62" s="5"/>
      <c r="C62" s="5"/>
      <c r="D62" s="5"/>
      <c r="E62" s="5"/>
    </row>
    <row r="63" spans="1:7" s="226" customFormat="1">
      <c r="A63" s="5" t="s">
        <v>589</v>
      </c>
      <c r="B63" s="5"/>
      <c r="C63" s="5"/>
      <c r="D63" s="5"/>
      <c r="E63" s="5"/>
    </row>
    <row r="64" spans="1:7" s="227" customFormat="1">
      <c r="A64" s="193" t="s">
        <v>590</v>
      </c>
      <c r="B64" s="225"/>
      <c r="C64" s="225"/>
      <c r="D64" s="225"/>
      <c r="E64" s="225"/>
    </row>
    <row r="65" spans="1:5" s="227" customFormat="1" ht="15.75" customHeight="1">
      <c r="A65" s="5" t="s">
        <v>593</v>
      </c>
      <c r="B65" s="20"/>
      <c r="C65" s="328"/>
      <c r="D65" s="20"/>
      <c r="E65" s="329"/>
    </row>
    <row r="66" spans="1:5" s="227" customFormat="1" ht="15.75" customHeight="1">
      <c r="A66" s="20"/>
      <c r="B66" s="20"/>
      <c r="C66" s="399" t="s">
        <v>201</v>
      </c>
      <c r="D66" s="20"/>
      <c r="E66" s="329"/>
    </row>
    <row r="67" spans="1:5" s="227" customFormat="1" ht="15.75" customHeight="1">
      <c r="A67" s="3" t="s">
        <v>171</v>
      </c>
      <c r="B67" s="20"/>
      <c r="C67" s="399" t="s">
        <v>213</v>
      </c>
      <c r="D67" s="20"/>
      <c r="E67" s="399" t="s">
        <v>180</v>
      </c>
    </row>
    <row r="68" spans="1:5" s="227" customFormat="1" ht="15.75" customHeight="1">
      <c r="A68" s="3" t="s">
        <v>172</v>
      </c>
      <c r="B68" s="20"/>
      <c r="C68" s="399" t="s">
        <v>214</v>
      </c>
      <c r="D68" s="20"/>
      <c r="E68" s="399" t="s">
        <v>186</v>
      </c>
    </row>
    <row r="69" spans="1:5" s="227" customFormat="1" ht="15.75" customHeight="1">
      <c r="A69" s="9" t="s">
        <v>173</v>
      </c>
      <c r="B69" s="20"/>
      <c r="C69" s="10" t="s">
        <v>181</v>
      </c>
      <c r="D69" s="20"/>
      <c r="E69" s="10" t="s">
        <v>195</v>
      </c>
    </row>
    <row r="70" spans="1:5" s="227" customFormat="1" ht="15.75" customHeight="1">
      <c r="A70" s="11" t="s">
        <v>254</v>
      </c>
      <c r="B70" s="20"/>
      <c r="D70" s="20"/>
      <c r="E70" s="329"/>
    </row>
    <row r="71" spans="1:5" s="227" customFormat="1" ht="13.15" customHeight="1">
      <c r="A71" s="5" t="s">
        <v>324</v>
      </c>
      <c r="B71" s="20"/>
      <c r="C71" s="591">
        <f>+Alloc!K354</f>
        <v>131979510</v>
      </c>
      <c r="D71" s="20"/>
      <c r="E71" s="486">
        <f>+Alloc!K355</f>
        <v>0.46810000000000002</v>
      </c>
    </row>
    <row r="72" spans="1:5" s="227" customFormat="1" ht="13.15" customHeight="1">
      <c r="A72" s="5" t="s">
        <v>325</v>
      </c>
      <c r="B72" s="20"/>
      <c r="C72" s="592">
        <f>+Alloc!M354</f>
        <v>54908653</v>
      </c>
      <c r="D72" s="20"/>
      <c r="E72" s="595">
        <f>+Alloc!M355</f>
        <v>0.1948</v>
      </c>
    </row>
    <row r="73" spans="1:5" s="227" customFormat="1" ht="13.15" customHeight="1">
      <c r="A73" s="5" t="s">
        <v>326</v>
      </c>
      <c r="B73" s="20"/>
      <c r="C73" s="592">
        <f>+Alloc!O354</f>
        <v>24080310</v>
      </c>
      <c r="D73" s="20"/>
      <c r="E73" s="595">
        <f>+Alloc!O355</f>
        <v>8.5400000000000004E-2</v>
      </c>
    </row>
    <row r="74" spans="1:5" s="227" customFormat="1" ht="13.15" customHeight="1">
      <c r="A74" s="5" t="s">
        <v>327</v>
      </c>
      <c r="B74" s="20"/>
      <c r="C74" s="592">
        <f>+Alloc!Q354</f>
        <v>17886910</v>
      </c>
      <c r="D74" s="20"/>
      <c r="E74" s="595">
        <f>+Alloc!Q355</f>
        <v>6.3399999999999998E-2</v>
      </c>
    </row>
    <row r="75" spans="1:5" s="227" customFormat="1" ht="13.15" customHeight="1">
      <c r="A75" s="5" t="s">
        <v>626</v>
      </c>
      <c r="B75" s="20"/>
      <c r="C75" s="592">
        <f>+Alloc!S354</f>
        <v>50838568.149673641</v>
      </c>
      <c r="D75" s="20"/>
      <c r="E75" s="595">
        <f>+Alloc!S355</f>
        <v>0.18029999999999999</v>
      </c>
    </row>
    <row r="76" spans="1:5" s="227" customFormat="1" ht="13.15" customHeight="1">
      <c r="A76" s="5" t="s">
        <v>428</v>
      </c>
      <c r="B76" s="20"/>
      <c r="C76" s="593">
        <f>+Alloc!U354</f>
        <v>2241641</v>
      </c>
      <c r="D76" s="20"/>
      <c r="E76" s="596">
        <f>+Alloc!U355</f>
        <v>8.0000000000000002E-3</v>
      </c>
    </row>
    <row r="77" spans="1:5" s="227" customFormat="1" ht="13.15" customHeight="1">
      <c r="A77" s="20"/>
      <c r="B77" s="20"/>
      <c r="C77" s="328"/>
      <c r="D77" s="20"/>
      <c r="E77" s="329"/>
    </row>
    <row r="78" spans="1:5" s="227" customFormat="1" ht="13.15" customHeight="1" thickBot="1">
      <c r="A78" s="5" t="s">
        <v>14</v>
      </c>
      <c r="B78" s="20"/>
      <c r="C78" s="594">
        <f>SUM(C71:C77)</f>
        <v>281935592.14967364</v>
      </c>
      <c r="D78" s="20"/>
      <c r="E78" s="466">
        <f>SUM(E71:E77)</f>
        <v>1</v>
      </c>
    </row>
    <row r="79" spans="1:5" s="227" customFormat="1" ht="13.15" customHeight="1" thickTop="1">
      <c r="A79" s="20"/>
      <c r="B79" s="20"/>
      <c r="C79" s="328"/>
      <c r="D79" s="20"/>
      <c r="E79" s="329"/>
    </row>
    <row r="80" spans="1:5" s="227" customFormat="1" ht="13.15" customHeight="1">
      <c r="A80" s="5" t="s">
        <v>591</v>
      </c>
      <c r="B80" s="20"/>
      <c r="C80" s="328"/>
      <c r="D80" s="20"/>
      <c r="E80" s="329"/>
    </row>
    <row r="81" spans="1:5" s="227" customFormat="1" ht="7.9" customHeight="1">
      <c r="A81" s="193"/>
      <c r="B81" s="20"/>
      <c r="C81" s="328"/>
      <c r="D81" s="20"/>
      <c r="E81" s="329"/>
    </row>
    <row r="82" spans="1:5" s="227" customFormat="1" ht="13.15" customHeight="1">
      <c r="A82" s="5" t="s">
        <v>611</v>
      </c>
      <c r="B82" s="20"/>
      <c r="C82" s="328"/>
      <c r="D82" s="20"/>
      <c r="E82" s="329"/>
    </row>
    <row r="83" spans="1:5" s="227" customFormat="1" ht="9" customHeight="1">
      <c r="A83" s="225"/>
      <c r="B83" s="20"/>
      <c r="C83" s="328"/>
      <c r="D83" s="20"/>
      <c r="E83" s="329"/>
    </row>
    <row r="84" spans="1:5" s="227" customFormat="1" ht="13.15" customHeight="1">
      <c r="A84" s="5"/>
      <c r="B84" s="20"/>
      <c r="C84" s="399" t="s">
        <v>201</v>
      </c>
      <c r="D84" s="20"/>
      <c r="E84" s="329"/>
    </row>
    <row r="85" spans="1:5" s="227" customFormat="1" ht="13.15" customHeight="1">
      <c r="A85" s="3" t="s">
        <v>171</v>
      </c>
      <c r="B85" s="20"/>
      <c r="C85" s="399" t="s">
        <v>213</v>
      </c>
      <c r="D85" s="20"/>
      <c r="E85" s="399" t="s">
        <v>180</v>
      </c>
    </row>
    <row r="86" spans="1:5" s="227" customFormat="1" ht="13.15" customHeight="1">
      <c r="A86" s="18" t="s">
        <v>172</v>
      </c>
      <c r="B86" s="20"/>
      <c r="C86" s="399" t="s">
        <v>214</v>
      </c>
      <c r="D86" s="20"/>
      <c r="E86" s="399" t="s">
        <v>186</v>
      </c>
    </row>
    <row r="87" spans="1:5" s="227" customFormat="1" ht="13.15" customHeight="1">
      <c r="A87" s="9" t="s">
        <v>173</v>
      </c>
      <c r="B87" s="20"/>
      <c r="C87" s="10" t="s">
        <v>181</v>
      </c>
      <c r="D87" s="20"/>
      <c r="E87" s="10" t="s">
        <v>195</v>
      </c>
    </row>
    <row r="88" spans="1:5" s="227" customFormat="1" ht="13.15" customHeight="1">
      <c r="A88" s="11" t="s">
        <v>254</v>
      </c>
      <c r="B88" s="20"/>
      <c r="D88" s="20"/>
      <c r="E88" s="329"/>
    </row>
    <row r="89" spans="1:5" s="227" customFormat="1" ht="13.15" customHeight="1">
      <c r="A89" s="5" t="s">
        <v>323</v>
      </c>
      <c r="B89" s="20"/>
      <c r="C89" s="591">
        <f>+Alloc!K356</f>
        <v>181185506</v>
      </c>
      <c r="D89" s="20"/>
      <c r="E89" s="486">
        <f>+Alloc!K357</f>
        <v>0.49220000000000003</v>
      </c>
    </row>
    <row r="90" spans="1:5" s="227" customFormat="1" ht="13.15" customHeight="1">
      <c r="A90" s="20" t="s">
        <v>331</v>
      </c>
      <c r="B90" s="20"/>
      <c r="C90" s="592">
        <f>+Alloc!M356</f>
        <v>75380277</v>
      </c>
      <c r="D90" s="20"/>
      <c r="E90" s="595">
        <f>+Alloc!M357</f>
        <v>0.20480000000000001</v>
      </c>
    </row>
    <row r="91" spans="1:5" s="227" customFormat="1" ht="13.15" customHeight="1">
      <c r="A91" s="5" t="s">
        <v>332</v>
      </c>
      <c r="B91" s="20"/>
      <c r="C91" s="592">
        <f>+Alloc!O356</f>
        <v>33058186</v>
      </c>
      <c r="D91" s="20"/>
      <c r="E91" s="595">
        <f>+Alloc!O357</f>
        <v>8.9800000000000005E-2</v>
      </c>
    </row>
    <row r="92" spans="1:5" s="227" customFormat="1" ht="13.15" customHeight="1">
      <c r="A92" s="20" t="s">
        <v>333</v>
      </c>
      <c r="B92" s="20"/>
      <c r="C92" s="592">
        <f>+Alloc!Q356</f>
        <v>24555697</v>
      </c>
      <c r="D92" s="20"/>
      <c r="E92" s="595">
        <f>+Alloc!Q357</f>
        <v>6.6699999999999995E-2</v>
      </c>
    </row>
    <row r="93" spans="1:5" s="227" customFormat="1" ht="13.15" customHeight="1">
      <c r="A93" s="5" t="s">
        <v>470</v>
      </c>
      <c r="B93" s="20"/>
      <c r="C93" s="592">
        <f>+Alloc!S356</f>
        <v>50838568.149673641</v>
      </c>
      <c r="D93" s="20"/>
      <c r="E93" s="595">
        <f>+Alloc!S357</f>
        <v>0.1381</v>
      </c>
    </row>
    <row r="94" spans="1:5" s="227" customFormat="1" ht="13.15" customHeight="1">
      <c r="A94" s="5" t="s">
        <v>627</v>
      </c>
      <c r="B94" s="20"/>
      <c r="C94" s="593">
        <f>+Alloc!U356</f>
        <v>3077393</v>
      </c>
      <c r="D94" s="20"/>
      <c r="E94" s="596">
        <f>+Alloc!U357</f>
        <v>8.3999999999999995E-3</v>
      </c>
    </row>
    <row r="95" spans="1:5" s="227" customFormat="1" ht="9.6" customHeight="1">
      <c r="A95" s="5"/>
      <c r="B95" s="20"/>
      <c r="C95" s="328"/>
      <c r="D95" s="20"/>
      <c r="E95" s="329"/>
    </row>
    <row r="96" spans="1:5" s="227" customFormat="1" ht="13.15" customHeight="1" thickBot="1">
      <c r="A96" s="20" t="s">
        <v>176</v>
      </c>
      <c r="B96" s="20"/>
      <c r="C96" s="594">
        <f>SUM(C89:C95)</f>
        <v>368095627.14967364</v>
      </c>
      <c r="D96" s="20"/>
      <c r="E96" s="466">
        <f>SUM(E89:E95)</f>
        <v>1</v>
      </c>
    </row>
    <row r="97" spans="1:11" s="227" customFormat="1" ht="15.75" customHeight="1" thickTop="1">
      <c r="A97" s="20"/>
      <c r="B97" s="20"/>
      <c r="C97" s="328"/>
      <c r="D97" s="20"/>
      <c r="E97" s="329"/>
    </row>
    <row r="98" spans="1:11" s="227" customFormat="1" ht="15.75" customHeight="1">
      <c r="A98" s="2" t="s">
        <v>635</v>
      </c>
      <c r="B98" s="3"/>
      <c r="C98" s="3"/>
      <c r="D98" s="3"/>
      <c r="E98" s="3"/>
    </row>
    <row r="99" spans="1:11" s="227" customFormat="1" ht="15.75" customHeight="1">
      <c r="A99" s="3"/>
      <c r="B99" s="3"/>
      <c r="C99" s="3"/>
      <c r="D99" s="3"/>
      <c r="E99" s="3"/>
    </row>
    <row r="100" spans="1:11" s="227" customFormat="1" ht="15.75" customHeight="1">
      <c r="A100" s="400" t="s">
        <v>170</v>
      </c>
      <c r="B100" s="3"/>
      <c r="C100" s="3"/>
      <c r="D100" s="3"/>
      <c r="E100" s="3"/>
    </row>
    <row r="101" spans="1:11" s="226" customFormat="1">
      <c r="A101" s="193"/>
      <c r="B101" s="193"/>
      <c r="C101" s="240"/>
      <c r="D101" s="193"/>
      <c r="E101" s="183"/>
    </row>
    <row r="102" spans="1:11">
      <c r="A102" s="5" t="s">
        <v>566</v>
      </c>
      <c r="B102" s="5"/>
      <c r="C102" s="5"/>
      <c r="D102" s="5"/>
      <c r="E102" s="5"/>
    </row>
    <row r="103" spans="1:11" ht="7.15" customHeight="1">
      <c r="A103" s="193"/>
      <c r="B103" s="193"/>
      <c r="C103" s="193"/>
      <c r="D103" s="193"/>
      <c r="E103" s="193"/>
    </row>
    <row r="104" spans="1:11">
      <c r="A104" s="5" t="s">
        <v>599</v>
      </c>
      <c r="B104" s="193"/>
      <c r="C104" s="193"/>
      <c r="D104" s="193"/>
      <c r="E104" s="193"/>
      <c r="F104" s="43"/>
      <c r="G104" s="43"/>
      <c r="H104" s="43"/>
      <c r="I104" s="43"/>
      <c r="J104" s="43"/>
    </row>
    <row r="105" spans="1:11" ht="10.15" customHeight="1">
      <c r="A105" s="193"/>
      <c r="B105" s="193"/>
      <c r="C105" s="193"/>
      <c r="D105" s="193"/>
      <c r="E105" s="193"/>
      <c r="F105" s="43"/>
      <c r="G105" s="43"/>
      <c r="H105" s="43"/>
      <c r="I105" s="43"/>
      <c r="J105" s="43"/>
    </row>
    <row r="106" spans="1:11">
      <c r="A106" s="3" t="s">
        <v>171</v>
      </c>
      <c r="B106" s="5"/>
      <c r="C106" s="597" t="s">
        <v>683</v>
      </c>
      <c r="D106" s="5"/>
      <c r="E106" s="8" t="s">
        <v>180</v>
      </c>
      <c r="F106" s="43"/>
      <c r="G106" s="43"/>
      <c r="H106" s="43"/>
      <c r="I106" s="43"/>
      <c r="J106" s="43"/>
    </row>
    <row r="107" spans="1:11">
      <c r="A107" s="3" t="s">
        <v>172</v>
      </c>
      <c r="B107" s="5"/>
      <c r="C107" s="589" t="s">
        <v>684</v>
      </c>
      <c r="D107" s="5"/>
      <c r="E107" s="8" t="s">
        <v>186</v>
      </c>
      <c r="F107" s="43"/>
      <c r="G107" s="43"/>
      <c r="H107" s="43"/>
      <c r="I107" s="43"/>
      <c r="J107" s="43"/>
    </row>
    <row r="108" spans="1:11">
      <c r="A108" s="9" t="s">
        <v>173</v>
      </c>
      <c r="B108" s="5"/>
      <c r="C108" s="10" t="s">
        <v>181</v>
      </c>
      <c r="D108" s="20"/>
      <c r="E108" s="10" t="s">
        <v>195</v>
      </c>
      <c r="F108" s="43"/>
      <c r="G108" s="43"/>
      <c r="H108" s="43"/>
      <c r="I108" s="43"/>
      <c r="J108" s="43"/>
    </row>
    <row r="109" spans="1:11">
      <c r="A109" s="11" t="s">
        <v>255</v>
      </c>
      <c r="B109" s="5"/>
      <c r="D109" s="5"/>
      <c r="E109" s="5"/>
      <c r="F109" s="43"/>
      <c r="G109" s="43"/>
      <c r="H109" s="43"/>
      <c r="I109" s="43"/>
      <c r="J109" s="43"/>
    </row>
    <row r="110" spans="1:11">
      <c r="A110" s="5" t="s">
        <v>323</v>
      </c>
      <c r="B110" s="5"/>
      <c r="C110" s="457">
        <v>2847456.3439492187</v>
      </c>
      <c r="D110" s="5"/>
      <c r="E110" s="183">
        <f>ROUND(+C110/C$117,4)</f>
        <v>0.96</v>
      </c>
      <c r="F110" s="43"/>
      <c r="G110" s="43"/>
      <c r="H110" s="43"/>
      <c r="I110" s="43"/>
      <c r="J110" s="43"/>
    </row>
    <row r="111" spans="1:11">
      <c r="A111" s="5" t="s">
        <v>331</v>
      </c>
      <c r="B111" s="5"/>
      <c r="C111" s="223">
        <v>114529.45341693651</v>
      </c>
      <c r="D111" s="5"/>
      <c r="E111" s="183">
        <f t="shared" ref="E111:E115" si="0">ROUND(+C111/C$117,4)</f>
        <v>3.8600000000000002E-2</v>
      </c>
      <c r="F111" s="43"/>
      <c r="G111" s="43"/>
      <c r="H111" s="43"/>
      <c r="I111" s="43"/>
      <c r="J111" s="43"/>
    </row>
    <row r="112" spans="1:11">
      <c r="A112" s="5" t="s">
        <v>332</v>
      </c>
      <c r="B112" s="5"/>
      <c r="C112" s="223">
        <v>4246.8793005123434</v>
      </c>
      <c r="D112" s="5"/>
      <c r="E112" s="183">
        <f t="shared" si="0"/>
        <v>1.4E-3</v>
      </c>
      <c r="F112" s="43"/>
      <c r="G112" s="193"/>
      <c r="H112" s="285"/>
      <c r="I112" s="285"/>
      <c r="J112" s="285"/>
      <c r="K112" s="5"/>
    </row>
    <row r="113" spans="1:11">
      <c r="A113" s="5" t="s">
        <v>333</v>
      </c>
      <c r="B113" s="5"/>
      <c r="C113" s="223">
        <v>0</v>
      </c>
      <c r="D113" s="5"/>
      <c r="E113" s="183">
        <f t="shared" si="0"/>
        <v>0</v>
      </c>
      <c r="F113" s="43"/>
      <c r="G113" s="193"/>
      <c r="H113" s="287"/>
      <c r="I113" s="287"/>
      <c r="J113" s="287"/>
      <c r="K113" s="5"/>
    </row>
    <row r="114" spans="1:11">
      <c r="A114" s="5" t="s">
        <v>470</v>
      </c>
      <c r="B114" s="5"/>
      <c r="C114" s="223">
        <v>0</v>
      </c>
      <c r="D114" s="5"/>
      <c r="E114" s="183">
        <f t="shared" si="0"/>
        <v>0</v>
      </c>
      <c r="F114" s="43"/>
      <c r="G114" s="193"/>
      <c r="H114" s="287"/>
      <c r="I114" s="287"/>
      <c r="J114" s="287"/>
      <c r="K114" s="5"/>
    </row>
    <row r="115" spans="1:11" s="43" customFormat="1">
      <c r="A115" s="193" t="s">
        <v>627</v>
      </c>
      <c r="B115" s="193"/>
      <c r="C115" s="224">
        <v>0</v>
      </c>
      <c r="D115" s="193"/>
      <c r="E115" s="184">
        <f t="shared" si="0"/>
        <v>0</v>
      </c>
      <c r="G115" s="193"/>
      <c r="H115" s="287"/>
      <c r="I115" s="287"/>
      <c r="J115" s="287"/>
      <c r="K115" s="193"/>
    </row>
    <row r="116" spans="1:11" ht="10.9" customHeight="1">
      <c r="A116" s="5"/>
      <c r="B116" s="5"/>
      <c r="C116" s="223"/>
      <c r="D116" s="5"/>
      <c r="E116" s="5"/>
      <c r="F116" s="43"/>
      <c r="G116" s="193"/>
      <c r="H116" s="287"/>
      <c r="I116" s="287"/>
      <c r="J116" s="287"/>
      <c r="K116" s="5"/>
    </row>
    <row r="117" spans="1:11" ht="15.75" thickBot="1">
      <c r="A117" s="5" t="s">
        <v>176</v>
      </c>
      <c r="B117" s="5"/>
      <c r="C117" s="599">
        <f>SUM(C110:C116)</f>
        <v>2966232.6766666677</v>
      </c>
      <c r="D117" s="5"/>
      <c r="E117" s="493">
        <f>SUM(E110:E115)</f>
        <v>0.99999999999999989</v>
      </c>
      <c r="F117" s="43"/>
      <c r="G117" s="193"/>
      <c r="H117" s="287"/>
      <c r="I117" s="287"/>
      <c r="J117" s="287"/>
      <c r="K117" s="5"/>
    </row>
    <row r="118" spans="1:11" ht="15.75" thickTop="1">
      <c r="A118" s="5"/>
      <c r="B118" s="5"/>
      <c r="C118" s="183"/>
      <c r="D118" s="5"/>
      <c r="F118" s="43"/>
      <c r="G118" s="193"/>
      <c r="H118" s="287"/>
      <c r="I118" s="287"/>
      <c r="J118" s="287"/>
      <c r="K118" s="5"/>
    </row>
    <row r="119" spans="1:11" ht="6.6" customHeight="1">
      <c r="A119" s="2"/>
      <c r="B119" s="3"/>
      <c r="C119" s="3"/>
      <c r="D119" s="3"/>
      <c r="E119" s="3"/>
      <c r="F119" s="43"/>
      <c r="G119" s="193"/>
      <c r="H119" s="289"/>
      <c r="I119" s="289"/>
      <c r="J119" s="289"/>
      <c r="K119" s="5"/>
    </row>
    <row r="120" spans="1:11" ht="17.25" customHeight="1">
      <c r="A120" s="5" t="s">
        <v>567</v>
      </c>
      <c r="B120" s="5"/>
      <c r="C120" s="5"/>
      <c r="D120" s="5"/>
      <c r="E120" s="5"/>
      <c r="F120" s="43"/>
      <c r="G120" s="193"/>
      <c r="H120" s="287"/>
      <c r="I120" s="287"/>
      <c r="J120" s="287"/>
      <c r="K120" s="5"/>
    </row>
    <row r="121" spans="1:11" ht="10.9" customHeight="1">
      <c r="A121" s="193"/>
      <c r="B121" s="193"/>
      <c r="C121" s="193"/>
      <c r="D121" s="193"/>
      <c r="E121" s="193"/>
      <c r="F121" s="43"/>
      <c r="G121" s="193"/>
      <c r="H121" s="287"/>
      <c r="I121" s="287"/>
      <c r="J121" s="287"/>
      <c r="K121" s="5"/>
    </row>
    <row r="122" spans="1:11">
      <c r="A122" s="5" t="s">
        <v>592</v>
      </c>
      <c r="B122" s="193"/>
      <c r="C122" s="193"/>
      <c r="D122" s="193"/>
      <c r="E122" s="193"/>
      <c r="F122" s="43"/>
      <c r="G122" s="43"/>
      <c r="H122" s="193"/>
      <c r="I122" s="193"/>
      <c r="J122" s="193"/>
    </row>
    <row r="123" spans="1:11" ht="9" customHeight="1">
      <c r="A123" s="193"/>
      <c r="B123" s="193"/>
      <c r="C123" s="193"/>
      <c r="D123" s="193"/>
      <c r="E123" s="193"/>
      <c r="F123" s="43"/>
      <c r="G123" s="43"/>
      <c r="H123" s="289"/>
      <c r="I123" s="289"/>
      <c r="J123" s="289"/>
    </row>
    <row r="124" spans="1:11">
      <c r="A124" s="3" t="s">
        <v>171</v>
      </c>
      <c r="B124" s="5"/>
      <c r="D124" s="5"/>
      <c r="E124" s="399" t="s">
        <v>180</v>
      </c>
      <c r="F124" s="225"/>
      <c r="G124" s="225"/>
      <c r="H124" s="43"/>
      <c r="I124" s="291"/>
      <c r="J124" s="43"/>
    </row>
    <row r="125" spans="1:11" ht="14.45" customHeight="1">
      <c r="A125" s="3" t="s">
        <v>172</v>
      </c>
      <c r="B125" s="5"/>
      <c r="C125" s="598" t="s">
        <v>568</v>
      </c>
      <c r="D125" s="5"/>
      <c r="E125" s="399" t="s">
        <v>186</v>
      </c>
      <c r="F125" s="297"/>
      <c r="G125" s="297"/>
      <c r="H125" s="297"/>
      <c r="I125" s="297"/>
      <c r="J125" s="43"/>
    </row>
    <row r="126" spans="1:11">
      <c r="A126" s="9" t="s">
        <v>173</v>
      </c>
      <c r="B126" s="5"/>
      <c r="C126" s="10" t="s">
        <v>181</v>
      </c>
      <c r="D126" s="20"/>
      <c r="E126" s="10" t="s">
        <v>195</v>
      </c>
      <c r="F126" s="225"/>
      <c r="G126" s="193"/>
      <c r="H126" s="182"/>
      <c r="I126" s="193"/>
      <c r="J126" s="43"/>
    </row>
    <row r="127" spans="1:11">
      <c r="A127" s="11" t="s">
        <v>255</v>
      </c>
      <c r="B127" s="5"/>
      <c r="C127" s="5"/>
      <c r="D127" s="5"/>
      <c r="E127" s="5"/>
      <c r="F127" s="225"/>
      <c r="G127" s="193"/>
      <c r="H127" s="182"/>
      <c r="I127" s="193"/>
      <c r="J127" s="43"/>
    </row>
    <row r="128" spans="1:11">
      <c r="A128" s="5" t="s">
        <v>323</v>
      </c>
      <c r="B128" s="5"/>
      <c r="C128" s="457">
        <v>1243988.256976092</v>
      </c>
      <c r="D128" s="5"/>
      <c r="E128" s="183">
        <f>ROUND(+C128/C$135,4)</f>
        <v>0.69810000000000005</v>
      </c>
      <c r="F128" s="225"/>
      <c r="G128" s="193"/>
      <c r="H128" s="182"/>
      <c r="I128" s="193"/>
      <c r="J128" s="43"/>
    </row>
    <row r="129" spans="1:10">
      <c r="A129" s="5" t="s">
        <v>331</v>
      </c>
      <c r="B129" s="5"/>
      <c r="C129" s="223">
        <v>415526.97408964066</v>
      </c>
      <c r="D129" s="5"/>
      <c r="E129" s="183">
        <f t="shared" ref="E129:E133" si="1">ROUND(+C129/C$135,4)</f>
        <v>0.23319999999999999</v>
      </c>
      <c r="F129" s="225"/>
      <c r="G129" s="193"/>
      <c r="H129" s="182"/>
      <c r="I129" s="183"/>
      <c r="J129" s="43"/>
    </row>
    <row r="130" spans="1:10">
      <c r="A130" s="5" t="s">
        <v>332</v>
      </c>
      <c r="B130" s="5"/>
      <c r="C130" s="223">
        <v>122484.76893426705</v>
      </c>
      <c r="D130" s="5"/>
      <c r="E130" s="183">
        <f t="shared" si="1"/>
        <v>6.8699999999999997E-2</v>
      </c>
      <c r="F130" s="225"/>
      <c r="G130" s="225"/>
      <c r="H130" s="43"/>
      <c r="I130" s="43"/>
      <c r="J130" s="43"/>
    </row>
    <row r="131" spans="1:10">
      <c r="A131" s="5" t="s">
        <v>333</v>
      </c>
      <c r="B131" s="5"/>
      <c r="C131" s="223">
        <v>0</v>
      </c>
      <c r="D131" s="5"/>
      <c r="E131" s="183">
        <f t="shared" si="1"/>
        <v>0</v>
      </c>
      <c r="F131" s="225"/>
      <c r="G131" s="225"/>
      <c r="H131" s="43"/>
      <c r="I131" s="43"/>
      <c r="J131" s="43"/>
    </row>
    <row r="132" spans="1:10">
      <c r="A132" s="5" t="s">
        <v>470</v>
      </c>
      <c r="B132" s="5"/>
      <c r="C132" s="223">
        <v>0</v>
      </c>
      <c r="D132" s="5"/>
      <c r="E132" s="183">
        <f t="shared" si="1"/>
        <v>0</v>
      </c>
      <c r="F132" s="225"/>
      <c r="G132" s="225"/>
      <c r="H132" s="43"/>
      <c r="I132" s="43"/>
      <c r="J132" s="43"/>
    </row>
    <row r="133" spans="1:10">
      <c r="A133" s="193" t="s">
        <v>627</v>
      </c>
      <c r="B133" s="193"/>
      <c r="C133" s="224">
        <v>0</v>
      </c>
      <c r="D133" s="193"/>
      <c r="E133" s="184">
        <f t="shared" si="1"/>
        <v>0</v>
      </c>
      <c r="F133" s="43"/>
      <c r="G133" s="43"/>
      <c r="H133" s="43"/>
      <c r="I133" s="43"/>
      <c r="J133" s="43"/>
    </row>
    <row r="134" spans="1:10" ht="12" customHeight="1">
      <c r="A134" s="5"/>
      <c r="B134" s="5"/>
      <c r="C134" s="223"/>
      <c r="D134" s="5"/>
      <c r="E134" s="183"/>
      <c r="F134" s="20"/>
      <c r="G134" s="20"/>
    </row>
    <row r="135" spans="1:10" ht="15.75" thickBot="1">
      <c r="A135" s="5" t="s">
        <v>176</v>
      </c>
      <c r="B135" s="5"/>
      <c r="C135" s="599">
        <f>SUM(C128:C134)</f>
        <v>1781999.9999999998</v>
      </c>
      <c r="D135" s="5"/>
      <c r="E135" s="222">
        <f>SUM(E128:E133)</f>
        <v>1</v>
      </c>
      <c r="F135" s="20"/>
      <c r="G135" s="20"/>
    </row>
    <row r="136" spans="1:10" ht="15.75" thickTop="1">
      <c r="A136" s="5"/>
      <c r="B136" s="5"/>
      <c r="C136" s="183"/>
      <c r="D136" s="5"/>
      <c r="F136" s="20"/>
      <c r="G136" s="20"/>
    </row>
    <row r="137" spans="1:10" ht="15.75" thickBot="1">
      <c r="A137" s="5"/>
      <c r="B137" s="5"/>
      <c r="C137" s="298"/>
      <c r="D137" s="5"/>
      <c r="E137" s="222"/>
      <c r="F137" s="20"/>
      <c r="G137" s="20"/>
    </row>
    <row r="138" spans="1:10" ht="15.75" thickTop="1">
      <c r="A138" s="193"/>
      <c r="B138" s="193"/>
      <c r="C138" s="240"/>
      <c r="D138" s="193"/>
      <c r="E138" s="183"/>
      <c r="F138" s="20"/>
      <c r="G138" s="20"/>
    </row>
    <row r="139" spans="1:10">
      <c r="A139" s="5"/>
      <c r="B139" s="5"/>
      <c r="C139" s="5"/>
      <c r="D139" s="5"/>
      <c r="E139" s="5"/>
      <c r="F139" s="20"/>
      <c r="G139" s="20"/>
    </row>
    <row r="140" spans="1:10">
      <c r="A140" s="193"/>
      <c r="B140" s="193"/>
      <c r="C140" s="193"/>
      <c r="D140" s="193"/>
      <c r="E140" s="193"/>
    </row>
    <row r="141" spans="1:10">
      <c r="A141" s="5"/>
      <c r="B141" s="193"/>
      <c r="C141" s="193"/>
      <c r="D141" s="193"/>
      <c r="E141" s="193"/>
    </row>
    <row r="142" spans="1:10">
      <c r="A142" s="193"/>
      <c r="B142" s="193"/>
      <c r="C142" s="193"/>
      <c r="D142" s="193"/>
      <c r="E142" s="193"/>
    </row>
    <row r="143" spans="1:10">
      <c r="A143" s="5"/>
      <c r="B143" s="5"/>
      <c r="D143" s="5"/>
      <c r="E143" s="5"/>
    </row>
    <row r="144" spans="1:10">
      <c r="A144" s="3"/>
      <c r="B144" s="5"/>
      <c r="C144" s="8"/>
      <c r="D144" s="5"/>
    </row>
    <row r="145" spans="1:11">
      <c r="A145" s="3"/>
      <c r="B145" s="5"/>
      <c r="C145" s="8"/>
      <c r="D145" s="5"/>
    </row>
    <row r="146" spans="1:11">
      <c r="A146" s="9"/>
      <c r="B146" s="5"/>
      <c r="C146" s="296"/>
      <c r="D146" s="5"/>
    </row>
    <row r="147" spans="1:11">
      <c r="A147" s="11"/>
      <c r="B147" s="5"/>
      <c r="C147" s="5"/>
      <c r="D147" s="5"/>
    </row>
    <row r="148" spans="1:11">
      <c r="A148" s="5"/>
      <c r="B148" s="5"/>
      <c r="C148" s="380"/>
      <c r="D148" s="5"/>
    </row>
    <row r="149" spans="1:11">
      <c r="A149" s="5"/>
      <c r="B149" s="5"/>
      <c r="C149" s="380"/>
      <c r="D149" s="5"/>
    </row>
    <row r="150" spans="1:11">
      <c r="A150" s="5"/>
      <c r="B150" s="5"/>
      <c r="C150" s="380"/>
      <c r="D150" s="5"/>
    </row>
    <row r="151" spans="1:11">
      <c r="A151" s="5"/>
      <c r="B151" s="5"/>
      <c r="C151" s="380"/>
      <c r="D151" s="5"/>
    </row>
    <row r="152" spans="1:11">
      <c r="A152" s="5"/>
      <c r="B152" s="5"/>
      <c r="C152" s="183"/>
      <c r="D152" s="5"/>
    </row>
    <row r="153" spans="1:11">
      <c r="A153" s="5"/>
      <c r="B153" s="5"/>
      <c r="C153" s="184"/>
      <c r="D153" s="5"/>
    </row>
    <row r="154" spans="1:11">
      <c r="A154" s="5"/>
      <c r="B154" s="5"/>
      <c r="C154" s="183"/>
      <c r="D154" s="5"/>
    </row>
    <row r="155" spans="1:11">
      <c r="A155" s="5"/>
      <c r="B155" s="5"/>
      <c r="C155" s="13"/>
      <c r="D155" s="5"/>
    </row>
    <row r="157" spans="1:11">
      <c r="A157" s="2"/>
      <c r="B157" s="3"/>
      <c r="C157" s="3"/>
      <c r="D157" s="3"/>
      <c r="E157" s="3"/>
      <c r="F157" s="43"/>
      <c r="G157" s="193"/>
      <c r="H157" s="289"/>
      <c r="I157" s="289"/>
      <c r="J157" s="289"/>
      <c r="K157" s="5"/>
    </row>
    <row r="158" spans="1:11" ht="17.25" customHeight="1">
      <c r="A158" s="3"/>
      <c r="B158" s="3"/>
      <c r="C158" s="3"/>
      <c r="D158" s="3"/>
      <c r="E158" s="3"/>
      <c r="F158" s="43"/>
      <c r="G158" s="193"/>
      <c r="H158" s="287"/>
      <c r="I158" s="287"/>
      <c r="J158" s="287"/>
      <c r="K158" s="5"/>
    </row>
    <row r="159" spans="1:11">
      <c r="A159" s="3"/>
      <c r="B159" s="3"/>
      <c r="C159" s="3"/>
      <c r="D159" s="3"/>
      <c r="E159" s="3"/>
      <c r="F159" s="43"/>
      <c r="G159" s="193"/>
      <c r="H159" s="287"/>
      <c r="I159" s="287"/>
      <c r="J159" s="287"/>
      <c r="K159" s="5"/>
    </row>
    <row r="160" spans="1:11">
      <c r="A160" s="5"/>
      <c r="B160" s="5"/>
      <c r="C160" s="5"/>
      <c r="D160" s="5"/>
      <c r="E160" s="5"/>
      <c r="F160" s="43"/>
      <c r="G160" s="43"/>
      <c r="H160" s="193"/>
      <c r="I160" s="193"/>
      <c r="J160" s="193"/>
    </row>
    <row r="161" spans="1:3">
      <c r="A161" s="5"/>
      <c r="B161" s="5"/>
      <c r="C161" s="5"/>
    </row>
    <row r="162" spans="1:3">
      <c r="A162" s="193"/>
      <c r="B162" s="193"/>
      <c r="C162" s="193"/>
    </row>
    <row r="163" spans="1:3">
      <c r="A163" s="5"/>
      <c r="B163" s="193"/>
      <c r="C163" s="193"/>
    </row>
    <row r="164" spans="1:3">
      <c r="A164" s="193"/>
      <c r="B164" s="193"/>
      <c r="C164" s="193"/>
    </row>
    <row r="165" spans="1:3">
      <c r="A165" s="5"/>
      <c r="B165" s="5"/>
    </row>
    <row r="166" spans="1:3">
      <c r="A166" s="3"/>
      <c r="B166" s="5"/>
      <c r="C166" s="8"/>
    </row>
    <row r="167" spans="1:3">
      <c r="A167" s="3"/>
      <c r="B167" s="5"/>
      <c r="C167" s="8"/>
    </row>
    <row r="168" spans="1:3">
      <c r="A168" s="9"/>
      <c r="B168" s="5"/>
      <c r="C168" s="296"/>
    </row>
    <row r="169" spans="1:3">
      <c r="A169" s="11"/>
      <c r="B169" s="5"/>
      <c r="C169" s="5"/>
    </row>
    <row r="170" spans="1:3">
      <c r="A170" s="5"/>
      <c r="B170" s="5"/>
      <c r="C170" s="183"/>
    </row>
    <row r="171" spans="1:3">
      <c r="A171" s="5"/>
      <c r="B171" s="5"/>
      <c r="C171" s="183"/>
    </row>
    <row r="172" spans="1:3">
      <c r="A172" s="5"/>
      <c r="B172" s="5"/>
      <c r="C172" s="183"/>
    </row>
    <row r="173" spans="1:3">
      <c r="A173" s="5"/>
      <c r="B173" s="5"/>
      <c r="C173" s="183"/>
    </row>
    <row r="174" spans="1:3">
      <c r="A174" s="5"/>
      <c r="B174" s="5"/>
      <c r="C174" s="183"/>
    </row>
    <row r="175" spans="1:3">
      <c r="A175" s="5"/>
      <c r="B175" s="5"/>
      <c r="C175" s="801"/>
    </row>
    <row r="176" spans="1:3">
      <c r="A176" s="5"/>
      <c r="B176" s="5"/>
      <c r="C176" s="183"/>
    </row>
    <row r="177" spans="1:3">
      <c r="A177" s="5"/>
      <c r="B177" s="5"/>
      <c r="C177" s="13"/>
    </row>
  </sheetData>
  <phoneticPr fontId="10" type="noConversion"/>
  <printOptions horizontalCentered="1"/>
  <pageMargins left="0.4" right="0.4" top="1" bottom="0.2" header="0" footer="0"/>
  <pageSetup orientation="portrait" r:id="rId1"/>
  <headerFooter alignWithMargins="0"/>
  <rowBreaks count="3" manualBreakCount="3">
    <brk id="57" max="4" man="1"/>
    <brk id="97" max="4" man="1"/>
    <brk id="15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86"/>
  <sheetViews>
    <sheetView zoomScale="90" zoomScaleNormal="90" workbookViewId="0">
      <selection activeCell="C60" sqref="C60"/>
    </sheetView>
  </sheetViews>
  <sheetFormatPr defaultColWidth="9.6640625" defaultRowHeight="15"/>
  <cols>
    <col min="1" max="1" width="6" style="1" customWidth="1"/>
    <col min="2" max="2" width="1.44140625" style="1" customWidth="1"/>
    <col min="3" max="3" width="30.21875" style="1" customWidth="1"/>
    <col min="4" max="4" width="3" style="1" customWidth="1"/>
    <col min="5" max="5" width="13.88671875" style="1" customWidth="1"/>
    <col min="6" max="6" width="1.6640625" style="1" customWidth="1"/>
    <col min="7" max="7" width="13.33203125" style="1" bestFit="1" customWidth="1"/>
    <col min="8" max="8" width="1.5546875" style="1" customWidth="1"/>
    <col min="9" max="9" width="12.21875" style="1" bestFit="1" customWidth="1"/>
    <col min="10" max="10" width="1.21875" style="1" customWidth="1"/>
    <col min="11" max="11" width="11.21875" style="1" bestFit="1" customWidth="1"/>
    <col min="12" max="12" width="1.6640625" style="1" customWidth="1"/>
    <col min="13" max="13" width="11.21875" style="1" bestFit="1" customWidth="1"/>
    <col min="14" max="14" width="1.5546875" style="1" customWidth="1"/>
    <col min="15" max="15" width="12.21875" style="1" bestFit="1" customWidth="1"/>
    <col min="16" max="16" width="1.33203125" style="1" customWidth="1"/>
    <col min="17" max="17" width="11.109375" style="1" customWidth="1"/>
    <col min="18" max="16384" width="9.6640625" style="1"/>
  </cols>
  <sheetData>
    <row r="1" spans="1:17">
      <c r="A1" s="842" t="s">
        <v>635</v>
      </c>
      <c r="B1" s="842"/>
      <c r="C1" s="842"/>
      <c r="D1" s="842"/>
      <c r="E1" s="842"/>
      <c r="F1" s="842"/>
      <c r="G1" s="842"/>
      <c r="H1" s="842"/>
      <c r="I1" s="842"/>
      <c r="J1" s="842"/>
      <c r="K1" s="842"/>
      <c r="L1" s="842"/>
      <c r="M1" s="842"/>
      <c r="N1" s="842"/>
      <c r="O1" s="842"/>
      <c r="P1" s="842"/>
      <c r="Q1" s="842"/>
    </row>
    <row r="2" spans="1:17">
      <c r="A2" s="106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75"/>
    </row>
    <row r="3" spans="1:17">
      <c r="A3" s="842" t="s">
        <v>217</v>
      </c>
      <c r="B3" s="842"/>
      <c r="C3" s="842"/>
      <c r="D3" s="842"/>
      <c r="E3" s="842"/>
      <c r="F3" s="842"/>
      <c r="G3" s="842"/>
      <c r="H3" s="842"/>
      <c r="I3" s="842"/>
      <c r="J3" s="842"/>
      <c r="K3" s="842"/>
      <c r="L3" s="842"/>
      <c r="M3" s="842"/>
      <c r="N3" s="842"/>
      <c r="O3" s="842"/>
      <c r="P3" s="842"/>
      <c r="Q3" s="842"/>
    </row>
    <row r="4" spans="1:17" ht="7.9" customHeight="1">
      <c r="A4" s="1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75"/>
    </row>
    <row r="5" spans="1:17">
      <c r="A5" s="41"/>
      <c r="B5" s="12"/>
      <c r="C5" s="41"/>
      <c r="D5" s="41"/>
      <c r="E5" s="180" t="s">
        <v>216</v>
      </c>
      <c r="F5" s="180"/>
      <c r="G5" s="67"/>
      <c r="H5" s="41"/>
      <c r="I5" s="180"/>
      <c r="J5" s="41"/>
      <c r="K5" s="67"/>
      <c r="L5" s="67"/>
      <c r="M5" s="67"/>
      <c r="N5" s="41"/>
      <c r="O5" s="76"/>
    </row>
    <row r="6" spans="1:17">
      <c r="A6" s="273"/>
      <c r="B6" s="273"/>
      <c r="C6" s="195"/>
      <c r="D6" s="41"/>
      <c r="E6" s="179" t="s">
        <v>171</v>
      </c>
      <c r="F6" s="180"/>
      <c r="G6" s="67" t="s">
        <v>322</v>
      </c>
      <c r="H6" s="41"/>
      <c r="I6" s="179" t="s">
        <v>318</v>
      </c>
      <c r="J6" s="41"/>
      <c r="K6" s="67" t="s">
        <v>319</v>
      </c>
      <c r="L6" s="67"/>
      <c r="M6" s="67" t="s">
        <v>320</v>
      </c>
      <c r="N6" s="41"/>
      <c r="O6" s="76" t="s">
        <v>468</v>
      </c>
      <c r="Q6" s="76" t="s">
        <v>427</v>
      </c>
    </row>
    <row r="7" spans="1:17">
      <c r="A7" s="841"/>
      <c r="B7" s="841"/>
      <c r="C7" s="195"/>
      <c r="D7" s="41"/>
      <c r="E7" s="90">
        <f>+-1</f>
        <v>-1</v>
      </c>
      <c r="F7" s="41"/>
      <c r="G7" s="90">
        <f>+E7-1</f>
        <v>-2</v>
      </c>
      <c r="H7" s="41"/>
      <c r="I7" s="90">
        <f>+G7-1</f>
        <v>-3</v>
      </c>
      <c r="J7" s="41"/>
      <c r="K7" s="90">
        <f>+I7-1</f>
        <v>-4</v>
      </c>
      <c r="L7" s="41"/>
      <c r="M7" s="90">
        <f>+K7-1</f>
        <v>-5</v>
      </c>
      <c r="N7" s="41"/>
      <c r="O7" s="90">
        <f>+M7-1</f>
        <v>-6</v>
      </c>
      <c r="Q7" s="90">
        <f>+O7-1</f>
        <v>-7</v>
      </c>
    </row>
    <row r="8" spans="1:17" ht="10.15" customHeight="1">
      <c r="A8" s="182"/>
      <c r="B8" s="36"/>
      <c r="C8" s="195"/>
      <c r="D8" s="41"/>
      <c r="E8" s="41"/>
      <c r="F8" s="41"/>
      <c r="G8" s="79"/>
      <c r="H8" s="41"/>
      <c r="I8" s="79"/>
      <c r="J8" s="41"/>
      <c r="K8" s="79"/>
      <c r="L8" s="79"/>
      <c r="M8" s="79"/>
      <c r="N8" s="41"/>
      <c r="O8" s="79"/>
    </row>
    <row r="9" spans="1:17" ht="15.75">
      <c r="A9" s="272" t="s">
        <v>149</v>
      </c>
      <c r="B9" s="36"/>
      <c r="C9" s="36"/>
      <c r="D9"/>
      <c r="E9"/>
      <c r="F9"/>
      <c r="G9"/>
      <c r="H9"/>
      <c r="I9"/>
      <c r="J9"/>
      <c r="K9"/>
      <c r="L9"/>
      <c r="M9"/>
      <c r="N9"/>
      <c r="O9"/>
    </row>
    <row r="10" spans="1:17">
      <c r="A10" s="41" t="s">
        <v>255</v>
      </c>
      <c r="B10"/>
      <c r="C10" s="41"/>
      <c r="D10" s="41"/>
      <c r="E10" s="258">
        <f>+SUM(G10:Q10)</f>
        <v>76089024</v>
      </c>
      <c r="F10" s="41"/>
      <c r="G10" s="92">
        <f>Sched.A!Z58</f>
        <v>61313986</v>
      </c>
      <c r="H10" s="92"/>
      <c r="I10" s="92">
        <f>Sched.A!AB59</f>
        <v>9499596</v>
      </c>
      <c r="J10" s="92"/>
      <c r="K10" s="92">
        <f>Sched.A!AD60</f>
        <v>2225429</v>
      </c>
      <c r="L10" s="92"/>
      <c r="M10" s="92">
        <f>+Sched.A!AF61</f>
        <v>2013271</v>
      </c>
      <c r="N10" s="92"/>
      <c r="O10" s="92">
        <f>Sched.A!AH62</f>
        <v>477960</v>
      </c>
      <c r="P10" s="92"/>
      <c r="Q10" s="92">
        <f>Sched.A!AJ63</f>
        <v>558782</v>
      </c>
    </row>
    <row r="11" spans="1:17">
      <c r="A11" s="41"/>
      <c r="B11"/>
      <c r="C11" s="41"/>
      <c r="D11" s="41"/>
      <c r="E11" s="41"/>
      <c r="F11" s="41"/>
      <c r="G11" s="80"/>
      <c r="H11" s="41"/>
      <c r="I11" s="80"/>
      <c r="J11" s="41"/>
      <c r="K11" s="80"/>
      <c r="L11" s="80"/>
      <c r="M11" s="80"/>
      <c r="N11" s="41"/>
      <c r="O11" s="80"/>
    </row>
    <row r="12" spans="1:17">
      <c r="A12" s="41" t="s">
        <v>17</v>
      </c>
      <c r="B12"/>
      <c r="C12" s="41"/>
      <c r="D12" s="41"/>
      <c r="E12" s="258">
        <f>+SUM(G12:Q12)</f>
        <v>2028624</v>
      </c>
      <c r="F12" s="41"/>
      <c r="G12" s="32">
        <f>+'Ft 7to9'!E17*12</f>
        <v>1826208</v>
      </c>
      <c r="H12" s="32"/>
      <c r="I12" s="32">
        <f>+'Ft 7to9'!E18*12</f>
        <v>194916</v>
      </c>
      <c r="J12" s="32"/>
      <c r="K12" s="32">
        <f>+'Ft 7to9'!E19*12</f>
        <v>5268</v>
      </c>
      <c r="L12" s="32"/>
      <c r="M12" s="32">
        <f>+'Ft 7to9'!E20*12</f>
        <v>1656</v>
      </c>
      <c r="N12" s="32"/>
      <c r="O12" s="32">
        <f>+'Ft 7to9'!E21*12</f>
        <v>180</v>
      </c>
      <c r="P12" s="32"/>
      <c r="Q12" s="32">
        <f>+'Ft 7to9'!E22*12</f>
        <v>396</v>
      </c>
    </row>
    <row r="13" spans="1:17">
      <c r="A13" s="41"/>
      <c r="B13"/>
      <c r="C13" s="41"/>
      <c r="D13" s="41"/>
      <c r="E13" s="41"/>
      <c r="F13" s="41"/>
      <c r="G13" s="32"/>
      <c r="H13" s="32"/>
      <c r="I13" s="32"/>
      <c r="J13" s="32"/>
      <c r="K13" s="32"/>
      <c r="L13" s="32"/>
      <c r="M13" s="32"/>
      <c r="N13" s="32"/>
      <c r="O13" s="32"/>
    </row>
    <row r="14" spans="1:17" ht="15.75">
      <c r="A14" s="88" t="s">
        <v>150</v>
      </c>
      <c r="B14" s="34"/>
      <c r="C14" s="88"/>
      <c r="D14" s="88"/>
      <c r="E14" s="99"/>
      <c r="F14" s="88"/>
      <c r="G14" s="99">
        <f>G10/G12</f>
        <v>33.574481110585431</v>
      </c>
      <c r="H14" s="99"/>
      <c r="I14" s="99">
        <f>I10/I12</f>
        <v>48.736871267622973</v>
      </c>
      <c r="J14" s="99"/>
      <c r="K14" s="99">
        <f>K10/K12</f>
        <v>422.44286256643886</v>
      </c>
      <c r="L14" s="99"/>
      <c r="M14" s="99">
        <f>M10/M12</f>
        <v>1215.7433574879226</v>
      </c>
      <c r="N14" s="99"/>
      <c r="O14" s="99">
        <f>O10/O12</f>
        <v>2655.3333333333335</v>
      </c>
      <c r="P14" s="99"/>
      <c r="Q14" s="99">
        <f t="shared" ref="Q14" si="0">Q10/Q12</f>
        <v>1411.0656565656566</v>
      </c>
    </row>
    <row r="15" spans="1:17">
      <c r="A15" s="41"/>
      <c r="B15"/>
      <c r="C15" s="41" t="s">
        <v>253</v>
      </c>
      <c r="D15" s="41"/>
      <c r="E15" s="41"/>
      <c r="F15" s="41"/>
      <c r="G15" s="32"/>
      <c r="H15" s="32"/>
      <c r="I15" s="32"/>
      <c r="J15" s="32"/>
      <c r="K15" s="32"/>
      <c r="L15" s="32"/>
      <c r="M15" s="32"/>
      <c r="N15" s="32"/>
      <c r="O15" s="32"/>
    </row>
    <row r="16" spans="1:17" ht="15.75">
      <c r="A16" s="97" t="s">
        <v>131</v>
      </c>
      <c r="B16"/>
      <c r="C16" s="41"/>
      <c r="D16" s="41"/>
      <c r="E16" s="41"/>
      <c r="F16" s="41"/>
      <c r="G16" s="32"/>
      <c r="H16" s="32"/>
      <c r="I16" s="32"/>
      <c r="J16" s="32"/>
      <c r="K16" s="32"/>
      <c r="L16" s="32"/>
      <c r="M16" s="32"/>
      <c r="N16" s="32"/>
      <c r="O16" s="32"/>
    </row>
    <row r="17" spans="1:17">
      <c r="A17" s="77" t="s">
        <v>140</v>
      </c>
      <c r="B17"/>
      <c r="C17" s="41"/>
      <c r="D17" s="41"/>
      <c r="E17" s="41"/>
      <c r="F17" s="41"/>
      <c r="G17" s="32"/>
      <c r="H17" s="32"/>
      <c r="I17" s="32"/>
      <c r="J17" s="32"/>
      <c r="K17" s="32"/>
      <c r="L17" s="32"/>
      <c r="M17" s="32"/>
      <c r="N17" s="32"/>
      <c r="O17" s="32"/>
    </row>
    <row r="18" spans="1:17">
      <c r="A18" s="738">
        <v>874</v>
      </c>
      <c r="B18" s="95" t="s">
        <v>328</v>
      </c>
      <c r="C18" s="41"/>
      <c r="D18" s="41"/>
      <c r="E18" s="41"/>
      <c r="F18" s="41"/>
      <c r="G18" s="32"/>
      <c r="H18" s="32"/>
      <c r="I18" s="32"/>
      <c r="J18" s="32"/>
      <c r="K18" s="32"/>
      <c r="L18" s="32"/>
      <c r="M18" s="32"/>
      <c r="N18" s="32"/>
      <c r="O18" s="32"/>
    </row>
    <row r="19" spans="1:17">
      <c r="A19" s="738"/>
      <c r="C19" s="95" t="s">
        <v>158</v>
      </c>
      <c r="D19" s="95"/>
      <c r="E19" s="258">
        <f>+SUM(G19:Q19)</f>
        <v>0</v>
      </c>
      <c r="F19" s="95"/>
      <c r="G19" s="32">
        <f>+Alloc!W66+Alloc!W67</f>
        <v>0</v>
      </c>
      <c r="H19" s="95"/>
      <c r="I19" s="32">
        <f>+Alloc!Y66+Alloc!Y67</f>
        <v>0</v>
      </c>
      <c r="J19" s="95"/>
      <c r="K19" s="32">
        <f>+Alloc!AA66+Alloc!AA67</f>
        <v>0</v>
      </c>
      <c r="L19" s="95"/>
      <c r="M19" s="32">
        <f>+Alloc!AC66+Alloc!AC67</f>
        <v>0</v>
      </c>
      <c r="N19" s="95"/>
      <c r="O19" s="32">
        <f>+Alloc!AE66+Alloc!AE67</f>
        <v>0</v>
      </c>
      <c r="P19" s="32">
        <f>+Alloc!AF66+Alloc!AF67</f>
        <v>0</v>
      </c>
      <c r="Q19" s="32">
        <f>+Alloc!AG66+Alloc!AG67</f>
        <v>0</v>
      </c>
    </row>
    <row r="20" spans="1:17">
      <c r="A20" s="738"/>
      <c r="C20" s="95" t="s">
        <v>161</v>
      </c>
      <c r="D20" s="95"/>
      <c r="E20" s="258">
        <f t="shared" ref="E20:E42" si="1">+SUM(G20:Q20)</f>
        <v>3372115</v>
      </c>
      <c r="F20" s="95"/>
      <c r="G20" s="32">
        <f>+Alloc!W68</f>
        <v>2915868</v>
      </c>
      <c r="H20" s="95"/>
      <c r="I20" s="32">
        <f>+Alloc!Y68</f>
        <v>416119</v>
      </c>
      <c r="J20" s="95"/>
      <c r="K20" s="32">
        <f>+Alloc!AA68</f>
        <v>23942</v>
      </c>
      <c r="L20" s="95"/>
      <c r="M20" s="32">
        <f>+Alloc!AC68</f>
        <v>11128</v>
      </c>
      <c r="N20" s="95"/>
      <c r="O20" s="32">
        <f>+Alloc!AE68</f>
        <v>2360</v>
      </c>
      <c r="P20" s="32">
        <f>+Alloc!AF68</f>
        <v>0</v>
      </c>
      <c r="Q20" s="32">
        <f>+Alloc!AG68</f>
        <v>2698</v>
      </c>
    </row>
    <row r="21" spans="1:17">
      <c r="A21" s="739">
        <v>876</v>
      </c>
      <c r="B21" s="41"/>
      <c r="C21" s="200" t="s">
        <v>285</v>
      </c>
      <c r="D21" s="200"/>
      <c r="E21" s="258">
        <f t="shared" si="1"/>
        <v>82000</v>
      </c>
      <c r="F21" s="200"/>
      <c r="G21" s="32">
        <f>+Alloc!W70</f>
        <v>0</v>
      </c>
      <c r="H21" s="95"/>
      <c r="I21" s="32">
        <f>+Alloc!Y70</f>
        <v>0</v>
      </c>
      <c r="J21" s="95"/>
      <c r="K21" s="32">
        <f>+Alloc!AA70</f>
        <v>0</v>
      </c>
      <c r="L21" s="95"/>
      <c r="M21" s="32">
        <f>+Alloc!AC70</f>
        <v>49233</v>
      </c>
      <c r="N21" s="95"/>
      <c r="O21" s="32">
        <f>+Alloc!AE70</f>
        <v>17761</v>
      </c>
      <c r="P21" s="32">
        <f>+Alloc!AF70</f>
        <v>0</v>
      </c>
      <c r="Q21" s="32">
        <f>+Alloc!AG70</f>
        <v>15006</v>
      </c>
    </row>
    <row r="22" spans="1:17">
      <c r="A22" s="739">
        <v>878</v>
      </c>
      <c r="B22" s="41"/>
      <c r="C22" s="116" t="s">
        <v>63</v>
      </c>
      <c r="D22" s="116"/>
      <c r="E22" s="258">
        <f t="shared" si="1"/>
        <v>1272000</v>
      </c>
      <c r="F22" s="200"/>
      <c r="G22" s="32">
        <f>+Alloc!W72</f>
        <v>535003</v>
      </c>
      <c r="H22" s="95"/>
      <c r="I22" s="32">
        <f>+Alloc!Y72</f>
        <v>416071</v>
      </c>
      <c r="J22" s="95"/>
      <c r="K22" s="32">
        <f>+Alloc!AA72</f>
        <v>211915</v>
      </c>
      <c r="L22" s="95"/>
      <c r="M22" s="32">
        <f>+Alloc!AC72</f>
        <v>85097</v>
      </c>
      <c r="N22" s="95"/>
      <c r="O22" s="32">
        <f>+Alloc!AE72</f>
        <v>3562</v>
      </c>
      <c r="P22" s="32">
        <f>+Alloc!AF72</f>
        <v>0</v>
      </c>
      <c r="Q22" s="32">
        <f>+Alloc!AG72</f>
        <v>20352</v>
      </c>
    </row>
    <row r="23" spans="1:17">
      <c r="A23" s="739">
        <v>879</v>
      </c>
      <c r="B23" s="41"/>
      <c r="C23" s="116" t="s">
        <v>64</v>
      </c>
      <c r="D23" s="116"/>
      <c r="E23" s="258">
        <f t="shared" si="1"/>
        <v>570000</v>
      </c>
      <c r="F23" s="200"/>
      <c r="G23" s="32">
        <f>+Alloc!W73</f>
        <v>239742</v>
      </c>
      <c r="H23" s="95"/>
      <c r="I23" s="32">
        <f>+Alloc!Y73</f>
        <v>186447</v>
      </c>
      <c r="J23" s="95"/>
      <c r="K23" s="32">
        <f>+Alloc!AA73</f>
        <v>94962</v>
      </c>
      <c r="L23" s="95"/>
      <c r="M23" s="32">
        <f>+Alloc!AC73</f>
        <v>38133</v>
      </c>
      <c r="N23" s="95"/>
      <c r="O23" s="32">
        <f>+Alloc!AE73</f>
        <v>1596</v>
      </c>
      <c r="P23" s="32">
        <f>+Alloc!AF73</f>
        <v>0</v>
      </c>
      <c r="Q23" s="32">
        <f>+Alloc!AG73</f>
        <v>9120</v>
      </c>
    </row>
    <row r="24" spans="1:17">
      <c r="A24" s="514">
        <v>890</v>
      </c>
      <c r="B24" s="41"/>
      <c r="C24" s="200" t="s">
        <v>312</v>
      </c>
      <c r="D24" s="116"/>
      <c r="E24" s="258">
        <f t="shared" si="1"/>
        <v>423000</v>
      </c>
      <c r="F24" s="200"/>
      <c r="G24" s="32">
        <f>+Alloc!W85</f>
        <v>0</v>
      </c>
      <c r="H24" s="200"/>
      <c r="I24" s="32">
        <f>+Alloc!Y85</f>
        <v>0</v>
      </c>
      <c r="J24" s="200"/>
      <c r="K24" s="32">
        <f>+Alloc!AA85</f>
        <v>0</v>
      </c>
      <c r="L24" s="200"/>
      <c r="M24" s="32">
        <f>+Alloc!AC85</f>
        <v>253969</v>
      </c>
      <c r="N24" s="200"/>
      <c r="O24" s="32">
        <f>+Alloc!AE85</f>
        <v>91622</v>
      </c>
      <c r="P24" s="32">
        <f>+Alloc!AF85</f>
        <v>0</v>
      </c>
      <c r="Q24" s="32">
        <f>+Alloc!AG85</f>
        <v>77409</v>
      </c>
    </row>
    <row r="25" spans="1:17">
      <c r="A25" s="514">
        <v>892</v>
      </c>
      <c r="B25" s="41"/>
      <c r="C25" s="201" t="s">
        <v>121</v>
      </c>
      <c r="D25" s="201"/>
      <c r="E25" s="258">
        <f t="shared" si="1"/>
        <v>1414000</v>
      </c>
      <c r="F25" s="201"/>
      <c r="G25" s="32">
        <f>+Alloc!W87</f>
        <v>1222686</v>
      </c>
      <c r="H25" s="201"/>
      <c r="I25" s="32">
        <f>+Alloc!Y87</f>
        <v>174488</v>
      </c>
      <c r="J25" s="201"/>
      <c r="K25" s="32">
        <f>+Alloc!AA87</f>
        <v>10039</v>
      </c>
      <c r="L25" s="201"/>
      <c r="M25" s="32">
        <f>+Alloc!AC87</f>
        <v>4666</v>
      </c>
      <c r="N25" s="201"/>
      <c r="O25" s="32">
        <f>+Alloc!AE87</f>
        <v>990</v>
      </c>
      <c r="P25" s="32">
        <f>+Alloc!AF87</f>
        <v>0</v>
      </c>
      <c r="Q25" s="32">
        <f>+Alloc!AG87</f>
        <v>1131</v>
      </c>
    </row>
    <row r="26" spans="1:17">
      <c r="A26" s="514">
        <v>893</v>
      </c>
      <c r="B26" s="41"/>
      <c r="C26" s="201" t="s">
        <v>122</v>
      </c>
      <c r="D26" s="201"/>
      <c r="E26" s="258">
        <f t="shared" si="1"/>
        <v>723000</v>
      </c>
      <c r="F26" s="201"/>
      <c r="G26" s="32">
        <f>+Alloc!W88</f>
        <v>304094</v>
      </c>
      <c r="H26" s="201"/>
      <c r="I26" s="32">
        <f>+Alloc!Y88</f>
        <v>236493</v>
      </c>
      <c r="J26" s="201"/>
      <c r="K26" s="32">
        <f>+Alloc!AA88</f>
        <v>120452</v>
      </c>
      <c r="L26" s="201"/>
      <c r="M26" s="32">
        <f>+Alloc!AC88</f>
        <v>48369</v>
      </c>
      <c r="N26" s="201"/>
      <c r="O26" s="32">
        <f>+Alloc!AE88</f>
        <v>2024</v>
      </c>
      <c r="P26" s="32">
        <f>+Alloc!AF88</f>
        <v>0</v>
      </c>
      <c r="Q26" s="32">
        <f>+Alloc!AG88</f>
        <v>11568</v>
      </c>
    </row>
    <row r="27" spans="1:17">
      <c r="A27" s="514">
        <v>901</v>
      </c>
      <c r="B27" s="41"/>
      <c r="C27" s="200" t="s">
        <v>167</v>
      </c>
      <c r="D27" s="200"/>
      <c r="E27" s="258">
        <f t="shared" si="1"/>
        <v>131999</v>
      </c>
      <c r="F27" s="200"/>
      <c r="G27" s="32">
        <f>+Alloc!W98</f>
        <v>118826</v>
      </c>
      <c r="H27" s="200"/>
      <c r="I27" s="32">
        <f>+Alloc!Y98</f>
        <v>12685</v>
      </c>
      <c r="J27" s="200"/>
      <c r="K27" s="32">
        <f>+Alloc!AA98</f>
        <v>343</v>
      </c>
      <c r="L27" s="200"/>
      <c r="M27" s="32">
        <f>+Alloc!AC98</f>
        <v>106</v>
      </c>
      <c r="N27" s="200"/>
      <c r="O27" s="32">
        <f>+Alloc!AE98</f>
        <v>13</v>
      </c>
      <c r="P27" s="32">
        <f>+Alloc!AF98</f>
        <v>0</v>
      </c>
      <c r="Q27" s="32">
        <f>+Alloc!AG98</f>
        <v>26</v>
      </c>
    </row>
    <row r="28" spans="1:17">
      <c r="A28" s="514">
        <v>902</v>
      </c>
      <c r="B28" s="41"/>
      <c r="C28" s="200" t="s">
        <v>123</v>
      </c>
      <c r="D28" s="200"/>
      <c r="E28" s="258">
        <f t="shared" si="1"/>
        <v>443999</v>
      </c>
      <c r="F28" s="200"/>
      <c r="G28" s="32">
        <f>+Alloc!W99</f>
        <v>399689</v>
      </c>
      <c r="H28" s="200"/>
      <c r="I28" s="32">
        <f>+Alloc!Y99</f>
        <v>42668</v>
      </c>
      <c r="J28" s="200"/>
      <c r="K28" s="32">
        <f>+Alloc!AA99</f>
        <v>1154</v>
      </c>
      <c r="L28" s="200"/>
      <c r="M28" s="32">
        <f>+Alloc!AC99</f>
        <v>355</v>
      </c>
      <c r="N28" s="200"/>
      <c r="O28" s="32">
        <f>+Alloc!AE99</f>
        <v>44</v>
      </c>
      <c r="P28" s="32">
        <f>+Alloc!AF99</f>
        <v>0</v>
      </c>
      <c r="Q28" s="32">
        <f>+Alloc!AG99</f>
        <v>89</v>
      </c>
    </row>
    <row r="29" spans="1:17">
      <c r="A29" s="514">
        <v>903</v>
      </c>
      <c r="B29" s="41"/>
      <c r="C29" s="200" t="s">
        <v>124</v>
      </c>
      <c r="D29" s="200"/>
      <c r="E29" s="258">
        <f t="shared" si="1"/>
        <v>4435001</v>
      </c>
      <c r="F29" s="200"/>
      <c r="G29" s="32">
        <f>+Alloc!W100</f>
        <v>3992387</v>
      </c>
      <c r="H29" s="200"/>
      <c r="I29" s="32">
        <f>+Alloc!Y100</f>
        <v>426204</v>
      </c>
      <c r="J29" s="200"/>
      <c r="K29" s="32">
        <f>+Alloc!AA100</f>
        <v>11531</v>
      </c>
      <c r="L29" s="200"/>
      <c r="M29" s="32">
        <f>+Alloc!AC100</f>
        <v>3548</v>
      </c>
      <c r="N29" s="200"/>
      <c r="O29" s="32">
        <f>+Alloc!AE100</f>
        <v>444</v>
      </c>
      <c r="P29" s="32">
        <f>+Alloc!AF100</f>
        <v>0</v>
      </c>
      <c r="Q29" s="32">
        <f>+Alloc!AG100</f>
        <v>887</v>
      </c>
    </row>
    <row r="30" spans="1:17">
      <c r="A30" s="514">
        <v>903.1</v>
      </c>
      <c r="B30" s="41"/>
      <c r="C30" s="95" t="s">
        <v>696</v>
      </c>
      <c r="D30" s="200"/>
      <c r="E30" s="258">
        <f t="shared" ref="E30" si="2">+SUM(G30:Q30)</f>
        <v>3732000</v>
      </c>
      <c r="F30" s="200"/>
      <c r="G30" s="32">
        <f>+Alloc!W101</f>
        <v>3732000</v>
      </c>
      <c r="H30" s="200"/>
      <c r="I30" s="32">
        <f>+Alloc!Y101</f>
        <v>0</v>
      </c>
      <c r="J30" s="200"/>
      <c r="K30" s="32">
        <f>+Alloc!AA101</f>
        <v>0</v>
      </c>
      <c r="L30" s="200"/>
      <c r="M30" s="32">
        <f>+Alloc!AC101</f>
        <v>0</v>
      </c>
      <c r="N30" s="200"/>
      <c r="O30" s="32">
        <f>+Alloc!AE101</f>
        <v>0</v>
      </c>
      <c r="P30" s="32">
        <f>+Alloc!AF101</f>
        <v>0</v>
      </c>
      <c r="Q30" s="32">
        <f>+Alloc!AG101</f>
        <v>0</v>
      </c>
    </row>
    <row r="31" spans="1:17">
      <c r="A31" s="514">
        <v>904</v>
      </c>
      <c r="B31" s="41"/>
      <c r="C31" s="200" t="s">
        <v>314</v>
      </c>
      <c r="D31" s="200"/>
      <c r="E31" s="258">
        <f t="shared" si="1"/>
        <v>1965135</v>
      </c>
      <c r="F31" s="200"/>
      <c r="G31" s="32">
        <f>+Alloc!W102</f>
        <v>1880053</v>
      </c>
      <c r="H31" s="200"/>
      <c r="I31" s="32">
        <f>+Alloc!Y102</f>
        <v>81016</v>
      </c>
      <c r="J31" s="200"/>
      <c r="K31" s="32">
        <f>+Alloc!AA102</f>
        <v>4066</v>
      </c>
      <c r="L31" s="200"/>
      <c r="M31" s="32">
        <f>+Alloc!AC102</f>
        <v>0</v>
      </c>
      <c r="N31" s="200"/>
      <c r="O31" s="32">
        <f>+Alloc!AE102</f>
        <v>0</v>
      </c>
      <c r="P31" s="32">
        <f>+Alloc!AF102</f>
        <v>0</v>
      </c>
      <c r="Q31" s="32">
        <f>+Alloc!AG102</f>
        <v>0</v>
      </c>
    </row>
    <row r="32" spans="1:17">
      <c r="A32" s="514">
        <v>905</v>
      </c>
      <c r="B32" s="41"/>
      <c r="C32" s="200" t="s">
        <v>315</v>
      </c>
      <c r="D32" s="200"/>
      <c r="E32" s="258">
        <f t="shared" si="1"/>
        <v>671000</v>
      </c>
      <c r="F32" s="200"/>
      <c r="G32" s="32">
        <f>+Alloc!W103</f>
        <v>604034</v>
      </c>
      <c r="H32" s="200"/>
      <c r="I32" s="32">
        <f>+Alloc!Y103</f>
        <v>64483</v>
      </c>
      <c r="J32" s="200"/>
      <c r="K32" s="32">
        <f>+Alloc!AA103</f>
        <v>1745</v>
      </c>
      <c r="L32" s="200"/>
      <c r="M32" s="32">
        <f>+Alloc!AC103</f>
        <v>537</v>
      </c>
      <c r="N32" s="200"/>
      <c r="O32" s="32">
        <f>+Alloc!AE103</f>
        <v>67</v>
      </c>
      <c r="P32" s="32">
        <f>+Alloc!AF103</f>
        <v>0</v>
      </c>
      <c r="Q32" s="32">
        <f>+Alloc!AG103</f>
        <v>134</v>
      </c>
    </row>
    <row r="33" spans="1:17" s="279" customFormat="1">
      <c r="A33" s="514">
        <v>907</v>
      </c>
      <c r="B33" s="277"/>
      <c r="C33" s="276" t="s">
        <v>167</v>
      </c>
      <c r="D33" s="276"/>
      <c r="E33" s="258">
        <f t="shared" si="1"/>
        <v>0</v>
      </c>
      <c r="F33" s="276"/>
      <c r="G33" s="275">
        <f>+Alloc!W109</f>
        <v>0</v>
      </c>
      <c r="H33" s="276"/>
      <c r="I33" s="275">
        <f>+Alloc!Y109</f>
        <v>0</v>
      </c>
      <c r="J33" s="276"/>
      <c r="K33" s="275">
        <f>+Alloc!AA109</f>
        <v>0</v>
      </c>
      <c r="L33" s="276"/>
      <c r="M33" s="275">
        <f>+Alloc!AC109</f>
        <v>0</v>
      </c>
      <c r="N33" s="276"/>
      <c r="O33" s="275">
        <f>+Alloc!AE109</f>
        <v>0</v>
      </c>
      <c r="P33" s="275">
        <f>+Alloc!AF109</f>
        <v>0</v>
      </c>
      <c r="Q33" s="275">
        <f>+Alloc!AG109</f>
        <v>0</v>
      </c>
    </row>
    <row r="34" spans="1:17">
      <c r="A34" s="514">
        <v>908</v>
      </c>
      <c r="B34" s="41"/>
      <c r="C34" s="200" t="s">
        <v>86</v>
      </c>
      <c r="D34" s="200"/>
      <c r="E34" s="258">
        <f t="shared" si="1"/>
        <v>431000</v>
      </c>
      <c r="F34" s="200"/>
      <c r="G34" s="275">
        <f>+Alloc!W110</f>
        <v>431000</v>
      </c>
      <c r="H34" s="276"/>
      <c r="I34" s="275">
        <f>+Alloc!Y110</f>
        <v>0</v>
      </c>
      <c r="J34" s="276"/>
      <c r="K34" s="275">
        <f>+Alloc!AA110</f>
        <v>0</v>
      </c>
      <c r="L34" s="276"/>
      <c r="M34" s="275">
        <f>+Alloc!AC110</f>
        <v>0</v>
      </c>
      <c r="N34" s="276"/>
      <c r="O34" s="275">
        <f>+Alloc!AE110</f>
        <v>0</v>
      </c>
      <c r="P34" s="275">
        <f>+Alloc!AF110</f>
        <v>0</v>
      </c>
      <c r="Q34" s="275">
        <f>+Alloc!AG110</f>
        <v>0</v>
      </c>
    </row>
    <row r="35" spans="1:17">
      <c r="A35" s="514">
        <v>910</v>
      </c>
      <c r="B35" s="41"/>
      <c r="C35" s="95" t="s">
        <v>456</v>
      </c>
      <c r="D35" s="200"/>
      <c r="E35" s="258">
        <f t="shared" si="1"/>
        <v>43999</v>
      </c>
      <c r="F35" s="200"/>
      <c r="G35" s="275">
        <f>+Alloc!W112</f>
        <v>39609</v>
      </c>
      <c r="H35" s="276"/>
      <c r="I35" s="275">
        <f>+Alloc!Y112</f>
        <v>4228</v>
      </c>
      <c r="J35" s="276"/>
      <c r="K35" s="275">
        <f>+Alloc!AA112</f>
        <v>114</v>
      </c>
      <c r="L35" s="276"/>
      <c r="M35" s="275">
        <f>+Alloc!AC112</f>
        <v>35</v>
      </c>
      <c r="N35" s="276"/>
      <c r="O35" s="275">
        <f>+Alloc!AE112</f>
        <v>4</v>
      </c>
      <c r="P35" s="275">
        <f>+Alloc!AF112</f>
        <v>0</v>
      </c>
      <c r="Q35" s="275">
        <f>+Alloc!AG112</f>
        <v>9</v>
      </c>
    </row>
    <row r="36" spans="1:17" s="279" customFormat="1">
      <c r="A36" s="514">
        <v>911</v>
      </c>
      <c r="B36" s="277"/>
      <c r="C36" s="276" t="s">
        <v>167</v>
      </c>
      <c r="D36" s="276"/>
      <c r="E36" s="258">
        <f t="shared" si="1"/>
        <v>0</v>
      </c>
      <c r="F36" s="276"/>
      <c r="G36" s="275">
        <f>+Alloc!W118</f>
        <v>0</v>
      </c>
      <c r="H36" s="276"/>
      <c r="I36" s="275">
        <f>+Alloc!Y118</f>
        <v>0</v>
      </c>
      <c r="J36" s="276"/>
      <c r="K36" s="275">
        <f>+Alloc!AA118</f>
        <v>0</v>
      </c>
      <c r="L36" s="276"/>
      <c r="M36" s="275">
        <f>+Alloc!AC118</f>
        <v>0</v>
      </c>
      <c r="N36" s="276"/>
      <c r="O36" s="275">
        <f>+Alloc!AE118</f>
        <v>0</v>
      </c>
      <c r="P36" s="275">
        <f>+Alloc!AF118</f>
        <v>0</v>
      </c>
      <c r="Q36" s="275">
        <f>+Alloc!AG118</f>
        <v>0</v>
      </c>
    </row>
    <row r="37" spans="1:17" s="279" customFormat="1">
      <c r="A37" s="514">
        <v>912</v>
      </c>
      <c r="B37" s="277"/>
      <c r="C37" s="324" t="s">
        <v>89</v>
      </c>
      <c r="D37" s="276"/>
      <c r="E37" s="258">
        <f t="shared" si="1"/>
        <v>251000</v>
      </c>
      <c r="F37" s="276"/>
      <c r="G37" s="275">
        <f>+Alloc!W119</f>
        <v>226804</v>
      </c>
      <c r="H37" s="276"/>
      <c r="I37" s="275">
        <f>+Alloc!Y119</f>
        <v>24196</v>
      </c>
      <c r="J37" s="276"/>
      <c r="K37" s="275">
        <f>+Alloc!AA119</f>
        <v>0</v>
      </c>
      <c r="L37" s="276"/>
      <c r="M37" s="275">
        <f>+Alloc!AC119</f>
        <v>0</v>
      </c>
      <c r="N37" s="276"/>
      <c r="O37" s="275">
        <f>+Alloc!AE119</f>
        <v>0</v>
      </c>
      <c r="P37" s="275">
        <f>+Alloc!AF119</f>
        <v>0</v>
      </c>
      <c r="Q37" s="275">
        <f>+Alloc!AG119</f>
        <v>0</v>
      </c>
    </row>
    <row r="38" spans="1:17" s="279" customFormat="1">
      <c r="A38" s="746">
        <v>912.1</v>
      </c>
      <c r="B38" s="277"/>
      <c r="C38" s="324" t="s">
        <v>698</v>
      </c>
      <c r="D38" s="276"/>
      <c r="E38" s="258">
        <f t="shared" ref="E38" si="3">+SUM(G38:Q38)</f>
        <v>1730000</v>
      </c>
      <c r="F38" s="276"/>
      <c r="G38" s="275">
        <f>+Alloc!W120</f>
        <v>1337128</v>
      </c>
      <c r="H38" s="276"/>
      <c r="I38" s="275">
        <f>+Alloc!Y120</f>
        <v>223175</v>
      </c>
      <c r="J38" s="276"/>
      <c r="K38" s="275">
        <f>+Alloc!AA120</f>
        <v>169697</v>
      </c>
      <c r="L38" s="276"/>
      <c r="M38" s="275">
        <f>+Alloc!AC120</f>
        <v>0</v>
      </c>
      <c r="N38" s="276"/>
      <c r="O38" s="275">
        <f>+Alloc!AE120</f>
        <v>0</v>
      </c>
      <c r="P38" s="275">
        <f>+Alloc!AF120</f>
        <v>0</v>
      </c>
      <c r="Q38" s="275">
        <f>+Alloc!AG120</f>
        <v>0</v>
      </c>
    </row>
    <row r="39" spans="1:17" s="279" customFormat="1">
      <c r="A39" s="514">
        <v>913</v>
      </c>
      <c r="B39" s="277"/>
      <c r="C39" s="276" t="s">
        <v>316</v>
      </c>
      <c r="D39" s="276"/>
      <c r="E39" s="258">
        <f t="shared" si="1"/>
        <v>232000</v>
      </c>
      <c r="F39" s="276"/>
      <c r="G39" s="275">
        <f>+Alloc!W121</f>
        <v>209635</v>
      </c>
      <c r="H39" s="276"/>
      <c r="I39" s="275">
        <f>+Alloc!Y121</f>
        <v>22365</v>
      </c>
      <c r="J39" s="276"/>
      <c r="K39" s="275">
        <f>+Alloc!AA121</f>
        <v>0</v>
      </c>
      <c r="L39" s="276"/>
      <c r="M39" s="275">
        <f>+Alloc!AC121</f>
        <v>0</v>
      </c>
      <c r="N39" s="276"/>
      <c r="O39" s="275">
        <f>+Alloc!AE121</f>
        <v>0</v>
      </c>
      <c r="P39" s="275">
        <f>+Alloc!AF121</f>
        <v>0</v>
      </c>
      <c r="Q39" s="275">
        <f>+Alloc!AG121</f>
        <v>0</v>
      </c>
    </row>
    <row r="40" spans="1:17" s="279" customFormat="1">
      <c r="A40" s="514">
        <v>916</v>
      </c>
      <c r="B40" s="277"/>
      <c r="C40" s="324" t="s">
        <v>392</v>
      </c>
      <c r="D40" s="276"/>
      <c r="E40" s="258">
        <f t="shared" si="1"/>
        <v>61000</v>
      </c>
      <c r="F40" s="276"/>
      <c r="G40" s="275">
        <f>+Alloc!W122</f>
        <v>55120</v>
      </c>
      <c r="H40" s="276"/>
      <c r="I40" s="275">
        <f>+Alloc!Y122</f>
        <v>5880</v>
      </c>
      <c r="J40" s="276"/>
      <c r="K40" s="275">
        <f>+Alloc!AA122</f>
        <v>0</v>
      </c>
      <c r="L40" s="276"/>
      <c r="M40" s="275">
        <f>+Alloc!AC122</f>
        <v>0</v>
      </c>
      <c r="N40" s="276"/>
      <c r="O40" s="275">
        <f>+Alloc!AE122</f>
        <v>0</v>
      </c>
      <c r="P40" s="275">
        <f>+Alloc!AF122</f>
        <v>0</v>
      </c>
      <c r="Q40" s="275">
        <f>+Alloc!AG122</f>
        <v>0</v>
      </c>
    </row>
    <row r="41" spans="1:17">
      <c r="A41" s="514">
        <v>926</v>
      </c>
      <c r="B41" s="41"/>
      <c r="C41" s="95" t="s">
        <v>699</v>
      </c>
      <c r="D41" s="200"/>
      <c r="E41" s="258">
        <f t="shared" si="1"/>
        <v>2754200</v>
      </c>
      <c r="F41" s="200" t="s">
        <v>354</v>
      </c>
      <c r="G41" s="32">
        <f>+Alloc!W133</f>
        <v>2078340</v>
      </c>
      <c r="H41" s="200"/>
      <c r="I41" s="32">
        <f>+Alloc!Y133</f>
        <v>390570</v>
      </c>
      <c r="J41" s="200"/>
      <c r="K41" s="32">
        <f>+Alloc!AA133</f>
        <v>111860</v>
      </c>
      <c r="L41" s="200"/>
      <c r="M41" s="32">
        <f>+Alloc!AC133</f>
        <v>113740</v>
      </c>
      <c r="N41" s="200"/>
      <c r="O41" s="32">
        <f>+Alloc!AE133</f>
        <v>27730</v>
      </c>
      <c r="P41" s="32">
        <f>+Alloc!AF133</f>
        <v>0</v>
      </c>
      <c r="Q41" s="32">
        <f>+Alloc!AG133</f>
        <v>31960</v>
      </c>
    </row>
    <row r="42" spans="1:17">
      <c r="A42" s="514">
        <v>408</v>
      </c>
      <c r="B42" s="41"/>
      <c r="C42" s="41" t="s">
        <v>353</v>
      </c>
      <c r="D42" s="41"/>
      <c r="E42" s="265">
        <f t="shared" si="1"/>
        <v>945218</v>
      </c>
      <c r="F42" s="41" t="s">
        <v>354</v>
      </c>
      <c r="G42" s="265">
        <f>+Alloc!W207</f>
        <v>713269</v>
      </c>
      <c r="H42" s="41"/>
      <c r="I42" s="265">
        <f>+Alloc!Y207</f>
        <v>134040</v>
      </c>
      <c r="J42" s="41"/>
      <c r="K42" s="265">
        <f>+Alloc!AA207</f>
        <v>38389</v>
      </c>
      <c r="L42" s="41"/>
      <c r="M42" s="265">
        <f>+Alloc!AC207</f>
        <v>39035</v>
      </c>
      <c r="N42" s="41"/>
      <c r="O42" s="265">
        <f>+Alloc!AE207</f>
        <v>9517</v>
      </c>
      <c r="P42" s="265">
        <f>+Alloc!AF207</f>
        <v>0</v>
      </c>
      <c r="Q42" s="265">
        <f>+Alloc!AG207</f>
        <v>10968</v>
      </c>
    </row>
    <row r="43" spans="1:17" ht="6.6" customHeight="1">
      <c r="A43" s="739"/>
      <c r="B43" s="41"/>
      <c r="C43" s="41"/>
      <c r="D43" s="41"/>
      <c r="E43" s="41"/>
      <c r="F43" s="41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>
      <c r="A44" s="748" t="s">
        <v>146</v>
      </c>
      <c r="B44"/>
      <c r="C44"/>
      <c r="D44"/>
      <c r="E44" s="35">
        <f>SUM(E18:E43)</f>
        <v>25683666</v>
      </c>
      <c r="F44"/>
      <c r="G44" s="35">
        <f>SUM(G18:G43)</f>
        <v>21035287</v>
      </c>
      <c r="H44" s="35">
        <f t="shared" ref="H44:N44" si="4">SUM(H18:H43)</f>
        <v>0</v>
      </c>
      <c r="I44" s="35">
        <f>SUM(I18:I43)</f>
        <v>2861128</v>
      </c>
      <c r="J44" s="35">
        <f t="shared" si="4"/>
        <v>0</v>
      </c>
      <c r="K44" s="35">
        <f>SUM(K18:K43)</f>
        <v>800209</v>
      </c>
      <c r="L44" s="35">
        <f t="shared" si="4"/>
        <v>0</v>
      </c>
      <c r="M44" s="35">
        <f>SUM(M18:M43)</f>
        <v>647951</v>
      </c>
      <c r="N44" s="35">
        <f t="shared" si="4"/>
        <v>0</v>
      </c>
      <c r="O44" s="35">
        <f>SUM(O18:O43)</f>
        <v>157734</v>
      </c>
      <c r="P44" s="35">
        <f t="shared" ref="P44:Q44" si="5">SUM(P18:P43)</f>
        <v>0</v>
      </c>
      <c r="Q44" s="35">
        <f t="shared" si="5"/>
        <v>181357</v>
      </c>
    </row>
    <row r="45" spans="1:17">
      <c r="A45" s="514"/>
      <c r="B45"/>
      <c r="C45"/>
      <c r="D45"/>
      <c r="E45"/>
      <c r="F4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</row>
    <row r="46" spans="1:17">
      <c r="A46" s="757" t="s">
        <v>157</v>
      </c>
      <c r="B46"/>
      <c r="C46"/>
      <c r="D46"/>
      <c r="E46"/>
      <c r="F46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</row>
    <row r="47" spans="1:17">
      <c r="A47" s="514">
        <v>380</v>
      </c>
      <c r="B47"/>
      <c r="C47" s="200" t="s">
        <v>293</v>
      </c>
      <c r="D47"/>
      <c r="E47" s="278">
        <f>+SUM(G47:Q47)</f>
        <v>7196183</v>
      </c>
      <c r="F47"/>
      <c r="G47" s="35">
        <f>+Alloc!W159</f>
        <v>6222540</v>
      </c>
      <c r="H47"/>
      <c r="I47" s="35">
        <f>+Alloc!Y159</f>
        <v>888009</v>
      </c>
      <c r="J47"/>
      <c r="K47" s="35">
        <f>+Alloc!AA159</f>
        <v>51093</v>
      </c>
      <c r="L47"/>
      <c r="M47" s="35">
        <f>+Alloc!AC159</f>
        <v>23747</v>
      </c>
      <c r="N47"/>
      <c r="O47" s="35">
        <f>+Alloc!AE159</f>
        <v>5037</v>
      </c>
      <c r="P47" s="35">
        <f>+Alloc!AF159</f>
        <v>0</v>
      </c>
      <c r="Q47" s="35">
        <f>+Alloc!AG159</f>
        <v>5757</v>
      </c>
    </row>
    <row r="48" spans="1:17">
      <c r="A48" s="514">
        <v>381</v>
      </c>
      <c r="B48"/>
      <c r="C48" s="200" t="s">
        <v>294</v>
      </c>
      <c r="D48"/>
      <c r="E48" s="278">
        <f t="shared" ref="E48:E54" si="6">+SUM(G48:Q48)</f>
        <v>1284251</v>
      </c>
      <c r="F48"/>
      <c r="G48" s="35">
        <f>+Alloc!W160</f>
        <v>540156</v>
      </c>
      <c r="H48"/>
      <c r="I48" s="35">
        <f>+Alloc!Y160</f>
        <v>420079</v>
      </c>
      <c r="J48"/>
      <c r="K48" s="35">
        <f>+Alloc!AA160</f>
        <v>213956</v>
      </c>
      <c r="L48"/>
      <c r="M48" s="35">
        <f>+Alloc!AC160</f>
        <v>85916</v>
      </c>
      <c r="N48"/>
      <c r="O48" s="35">
        <f>+Alloc!AE160</f>
        <v>3596</v>
      </c>
      <c r="P48" s="35">
        <f>+Alloc!AF160</f>
        <v>0</v>
      </c>
      <c r="Q48" s="35">
        <f>+Alloc!AG160</f>
        <v>20548</v>
      </c>
    </row>
    <row r="49" spans="1:17">
      <c r="A49" s="514">
        <v>382</v>
      </c>
      <c r="B49"/>
      <c r="C49" s="200" t="s">
        <v>295</v>
      </c>
      <c r="D49"/>
      <c r="E49" s="278">
        <f t="shared" si="6"/>
        <v>0</v>
      </c>
      <c r="F49"/>
      <c r="G49" s="35">
        <f>+Alloc!W162</f>
        <v>0</v>
      </c>
      <c r="H49"/>
      <c r="I49" s="35">
        <f>+Alloc!Y162</f>
        <v>0</v>
      </c>
      <c r="J49"/>
      <c r="K49" s="35">
        <f>+Alloc!AA162</f>
        <v>0</v>
      </c>
      <c r="L49"/>
      <c r="M49" s="35">
        <f>+Alloc!AC162</f>
        <v>0</v>
      </c>
      <c r="N49"/>
      <c r="O49" s="35">
        <f>+Alloc!AE162</f>
        <v>0</v>
      </c>
      <c r="P49" s="35">
        <f>+Alloc!AF162</f>
        <v>0</v>
      </c>
      <c r="Q49" s="35">
        <f>+Alloc!AG162</f>
        <v>0</v>
      </c>
    </row>
    <row r="50" spans="1:17">
      <c r="A50" s="514">
        <v>383</v>
      </c>
      <c r="B50"/>
      <c r="C50" s="200" t="s">
        <v>162</v>
      </c>
      <c r="D50"/>
      <c r="E50" s="278">
        <f t="shared" si="6"/>
        <v>38337</v>
      </c>
      <c r="F50"/>
      <c r="G50" s="35">
        <f>+Alloc!W163</f>
        <v>33541</v>
      </c>
      <c r="H50"/>
      <c r="I50" s="35">
        <f>+Alloc!Y163</f>
        <v>4796</v>
      </c>
      <c r="J50"/>
      <c r="K50" s="35">
        <f>+Alloc!AA163</f>
        <v>0</v>
      </c>
      <c r="L50"/>
      <c r="M50" s="35">
        <f>+Alloc!AC163</f>
        <v>0</v>
      </c>
      <c r="N50"/>
      <c r="O50" s="35">
        <f>+Alloc!AE163</f>
        <v>0</v>
      </c>
      <c r="P50" s="35">
        <f>+Alloc!AF163</f>
        <v>0</v>
      </c>
      <c r="Q50" s="35">
        <f>+Alloc!AG163</f>
        <v>0</v>
      </c>
    </row>
    <row r="51" spans="1:17">
      <c r="A51" s="514">
        <v>384</v>
      </c>
      <c r="B51"/>
      <c r="C51" s="200" t="s">
        <v>163</v>
      </c>
      <c r="D51"/>
      <c r="E51" s="278">
        <f t="shared" si="6"/>
        <v>47345</v>
      </c>
      <c r="F51"/>
      <c r="G51" s="35">
        <f>+Alloc!W164</f>
        <v>41422</v>
      </c>
      <c r="H51"/>
      <c r="I51" s="35">
        <f>+Alloc!Y164</f>
        <v>5923</v>
      </c>
      <c r="J51"/>
      <c r="K51" s="35">
        <f>+Alloc!AA164</f>
        <v>0</v>
      </c>
      <c r="L51"/>
      <c r="M51" s="35">
        <f>+Alloc!AC164</f>
        <v>0</v>
      </c>
      <c r="N51"/>
      <c r="O51" s="35">
        <f>+Alloc!AE164</f>
        <v>0</v>
      </c>
      <c r="P51" s="35">
        <f>+Alloc!AF164</f>
        <v>0</v>
      </c>
      <c r="Q51" s="35">
        <f>+Alloc!AG164</f>
        <v>0</v>
      </c>
    </row>
    <row r="52" spans="1:17">
      <c r="A52" s="514">
        <v>385</v>
      </c>
      <c r="B52"/>
      <c r="C52" s="95" t="s">
        <v>457</v>
      </c>
      <c r="D52"/>
      <c r="E52" s="278">
        <f t="shared" si="6"/>
        <v>216773</v>
      </c>
      <c r="F52"/>
      <c r="G52" s="35">
        <f>+Alloc!W165</f>
        <v>0</v>
      </c>
      <c r="H52"/>
      <c r="I52" s="35">
        <f>+Alloc!Y165</f>
        <v>0</v>
      </c>
      <c r="J52"/>
      <c r="K52" s="35">
        <f>+Alloc!AA165</f>
        <v>0</v>
      </c>
      <c r="L52"/>
      <c r="M52" s="35">
        <f>+Alloc!AC165</f>
        <v>130151</v>
      </c>
      <c r="N52"/>
      <c r="O52" s="35">
        <f>+Alloc!AE165</f>
        <v>46953</v>
      </c>
      <c r="P52" s="35">
        <f>+Alloc!AF165</f>
        <v>0</v>
      </c>
      <c r="Q52" s="35">
        <f>+Alloc!AG165</f>
        <v>39669</v>
      </c>
    </row>
    <row r="53" spans="1:17">
      <c r="A53" s="514">
        <v>390</v>
      </c>
      <c r="B53"/>
      <c r="C53" s="95" t="s">
        <v>613</v>
      </c>
      <c r="D53"/>
      <c r="E53" s="278">
        <f t="shared" si="6"/>
        <v>434084</v>
      </c>
      <c r="F53" t="s">
        <v>354</v>
      </c>
      <c r="G53" s="35">
        <f>+Alloc!W173</f>
        <v>355986</v>
      </c>
      <c r="H53"/>
      <c r="I53" s="35">
        <f>+Alloc!Y173</f>
        <v>48801</v>
      </c>
      <c r="J53"/>
      <c r="K53" s="35">
        <f>+Alloc!AA173</f>
        <v>13755</v>
      </c>
      <c r="L53"/>
      <c r="M53" s="35">
        <f>+Alloc!AC173</f>
        <v>10258</v>
      </c>
      <c r="N53"/>
      <c r="O53" s="35">
        <f>+Alloc!AE173</f>
        <v>2409</v>
      </c>
      <c r="P53" s="35">
        <f>+Alloc!AF173</f>
        <v>0</v>
      </c>
      <c r="Q53" s="35">
        <f>+Alloc!AG173</f>
        <v>2875</v>
      </c>
    </row>
    <row r="54" spans="1:17">
      <c r="A54" s="514">
        <v>391</v>
      </c>
      <c r="B54"/>
      <c r="C54" s="200" t="s">
        <v>297</v>
      </c>
      <c r="D54"/>
      <c r="E54" s="278">
        <f t="shared" si="6"/>
        <v>2100140</v>
      </c>
      <c r="F54" t="s">
        <v>354</v>
      </c>
      <c r="G54" s="35">
        <f>+Alloc!W174+Alloc!W185+Alloc!W192</f>
        <v>1854800</v>
      </c>
      <c r="H54" s="35"/>
      <c r="I54" s="35">
        <f>+Alloc!Y174+Alloc!Y185+Alloc!Y192</f>
        <v>209107</v>
      </c>
      <c r="J54" s="35"/>
      <c r="K54" s="35">
        <f>+Alloc!AA174+Alloc!AA185+Alloc!AA192</f>
        <v>18438</v>
      </c>
      <c r="L54" s="35"/>
      <c r="M54" s="35">
        <f>+Alloc!AC174+Alloc!AC185+Alloc!AC192</f>
        <v>11867</v>
      </c>
      <c r="N54" s="35"/>
      <c r="O54" s="35">
        <f>+Alloc!AE174+Alloc!AE185+Alloc!AE192</f>
        <v>2641</v>
      </c>
      <c r="P54" s="35"/>
      <c r="Q54" s="35">
        <f>+Alloc!AG174+Alloc!AG185+Alloc!AG192</f>
        <v>3287</v>
      </c>
    </row>
    <row r="55" spans="1:17" ht="2.4500000000000002" customHeight="1">
      <c r="A55" s="747"/>
      <c r="B55"/>
      <c r="C55"/>
      <c r="D55"/>
      <c r="E55" s="266"/>
      <c r="F55"/>
      <c r="G55" s="38"/>
      <c r="H55" s="35"/>
      <c r="I55" s="38"/>
      <c r="J55" s="35"/>
      <c r="K55" s="38"/>
      <c r="L55" s="35"/>
      <c r="M55" s="38"/>
      <c r="N55" s="35"/>
      <c r="O55" s="38"/>
      <c r="P55" s="38"/>
      <c r="Q55" s="38"/>
    </row>
    <row r="56" spans="1:17" ht="9.6" customHeight="1">
      <c r="A56" s="514"/>
      <c r="B56"/>
      <c r="C56"/>
      <c r="D56"/>
      <c r="E56" s="36"/>
      <c r="F56" s="36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</row>
    <row r="57" spans="1:17">
      <c r="A57" s="748" t="s">
        <v>147</v>
      </c>
      <c r="B57"/>
      <c r="C57"/>
      <c r="D57" s="36"/>
      <c r="E57" s="37">
        <f>SUM(E47:E56)</f>
        <v>11317113</v>
      </c>
      <c r="F57" s="36"/>
      <c r="G57" s="37">
        <f>SUM(G47:G56)</f>
        <v>9048445</v>
      </c>
      <c r="H57" s="37">
        <f>SUM(H47:H56)</f>
        <v>0</v>
      </c>
      <c r="I57" s="37">
        <f>SUM(I47:I56)</f>
        <v>1576715</v>
      </c>
      <c r="J57" s="37"/>
      <c r="K57" s="37">
        <f>SUM(K47:K56)</f>
        <v>297242</v>
      </c>
      <c r="L57" s="37"/>
      <c r="M57" s="37">
        <f>SUM(M47:M56)</f>
        <v>261939</v>
      </c>
      <c r="N57" s="37">
        <f>SUM(N47:N56)</f>
        <v>0</v>
      </c>
      <c r="O57" s="37">
        <f>SUM(O47:O56)</f>
        <v>60636</v>
      </c>
      <c r="P57" s="37">
        <f t="shared" ref="P57:Q57" si="7">SUM(P47:P56)</f>
        <v>0</v>
      </c>
      <c r="Q57" s="37">
        <f t="shared" si="7"/>
        <v>72136</v>
      </c>
    </row>
    <row r="58" spans="1:17" ht="9" customHeight="1">
      <c r="A58" s="514"/>
      <c r="B58"/>
      <c r="C58"/>
      <c r="D58"/>
      <c r="E58" s="36"/>
      <c r="F58" s="36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>
      <c r="A59" s="758" t="s">
        <v>141</v>
      </c>
      <c r="B59"/>
      <c r="C59"/>
      <c r="D59"/>
      <c r="E59"/>
      <c r="F59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</row>
    <row r="60" spans="1:17">
      <c r="A60" s="514">
        <v>380</v>
      </c>
      <c r="B60"/>
      <c r="C60" s="200" t="s">
        <v>293</v>
      </c>
      <c r="D60"/>
      <c r="E60" s="278">
        <f>+SUM(G60:Q60)</f>
        <v>167880262</v>
      </c>
      <c r="F60"/>
      <c r="G60" s="35">
        <f>+Alloc!W246</f>
        <v>145166063</v>
      </c>
      <c r="H60"/>
      <c r="I60" s="35">
        <f>+Alloc!Y246</f>
        <v>20716424</v>
      </c>
      <c r="J60"/>
      <c r="K60" s="35">
        <f>+Alloc!AA246</f>
        <v>1191950</v>
      </c>
      <c r="L60"/>
      <c r="M60" s="35">
        <f>+Alloc!AC246</f>
        <v>554005</v>
      </c>
      <c r="N60"/>
      <c r="O60" s="35">
        <f>+Alloc!AE246</f>
        <v>117516</v>
      </c>
      <c r="P60" s="35">
        <f>+Alloc!AF246</f>
        <v>0</v>
      </c>
      <c r="Q60" s="35">
        <f>+Alloc!AG246</f>
        <v>134304</v>
      </c>
    </row>
    <row r="61" spans="1:17">
      <c r="A61" s="514">
        <v>381</v>
      </c>
      <c r="B61"/>
      <c r="C61" s="200" t="s">
        <v>294</v>
      </c>
      <c r="D61"/>
      <c r="E61" s="278">
        <f t="shared" ref="E61:E69" si="8">+SUM(G61:Q61)</f>
        <v>27157497</v>
      </c>
      <c r="F61"/>
      <c r="G61" s="35">
        <f>+Alloc!W247</f>
        <v>11422443</v>
      </c>
      <c r="H61"/>
      <c r="I61" s="35">
        <f>+Alloc!Y247</f>
        <v>8883217</v>
      </c>
      <c r="J61"/>
      <c r="K61" s="35">
        <f>+Alloc!AA247</f>
        <v>4524439</v>
      </c>
      <c r="L61"/>
      <c r="M61" s="35">
        <f>+Alloc!AC247</f>
        <v>1816837</v>
      </c>
      <c r="N61"/>
      <c r="O61" s="35">
        <f>+Alloc!AE247</f>
        <v>76041</v>
      </c>
      <c r="P61" s="35">
        <f>+Alloc!AF247</f>
        <v>0</v>
      </c>
      <c r="Q61" s="35">
        <f>+Alloc!AG247</f>
        <v>434520</v>
      </c>
    </row>
    <row r="62" spans="1:17">
      <c r="A62" s="514">
        <v>382</v>
      </c>
      <c r="B62"/>
      <c r="C62" s="200" t="s">
        <v>295</v>
      </c>
      <c r="D62"/>
      <c r="E62" s="278">
        <f t="shared" si="8"/>
        <v>0</v>
      </c>
      <c r="F62"/>
      <c r="G62" s="35">
        <f>+Alloc!W248</f>
        <v>0</v>
      </c>
      <c r="H62"/>
      <c r="I62" s="35">
        <f>+Alloc!Y248</f>
        <v>0</v>
      </c>
      <c r="J62"/>
      <c r="K62" s="35">
        <f>+Alloc!AA248</f>
        <v>0</v>
      </c>
      <c r="L62"/>
      <c r="M62" s="35">
        <f>+Alloc!AC248</f>
        <v>0</v>
      </c>
      <c r="N62"/>
      <c r="O62" s="35">
        <f>+Alloc!AE248</f>
        <v>0</v>
      </c>
      <c r="P62" s="35">
        <f>+Alloc!AF248</f>
        <v>0</v>
      </c>
      <c r="Q62" s="35">
        <f>+Alloc!AG248</f>
        <v>0</v>
      </c>
    </row>
    <row r="63" spans="1:17">
      <c r="A63" s="514">
        <v>383</v>
      </c>
      <c r="B63"/>
      <c r="C63" s="200" t="s">
        <v>162</v>
      </c>
      <c r="D63"/>
      <c r="E63" s="278">
        <f t="shared" si="8"/>
        <v>983231</v>
      </c>
      <c r="F63"/>
      <c r="G63" s="35">
        <f>+Alloc!W249</f>
        <v>860229</v>
      </c>
      <c r="H63"/>
      <c r="I63" s="35">
        <f>+Alloc!Y249</f>
        <v>123002</v>
      </c>
      <c r="J63"/>
      <c r="K63" s="35">
        <f>+Alloc!AA249</f>
        <v>0</v>
      </c>
      <c r="L63"/>
      <c r="M63" s="35">
        <f>+Alloc!AC249</f>
        <v>0</v>
      </c>
      <c r="N63"/>
      <c r="O63" s="35">
        <f>+Alloc!AE249</f>
        <v>0</v>
      </c>
      <c r="P63" s="35">
        <f>+Alloc!AF249</f>
        <v>0</v>
      </c>
      <c r="Q63" s="35">
        <f>+Alloc!AG249</f>
        <v>0</v>
      </c>
    </row>
    <row r="64" spans="1:17">
      <c r="A64" s="514">
        <v>384</v>
      </c>
      <c r="B64"/>
      <c r="C64" s="200" t="s">
        <v>163</v>
      </c>
      <c r="D64"/>
      <c r="E64" s="278">
        <f t="shared" si="8"/>
        <v>1369696</v>
      </c>
      <c r="F64"/>
      <c r="G64" s="35">
        <f>+Alloc!W250</f>
        <v>1198347</v>
      </c>
      <c r="H64"/>
      <c r="I64" s="35">
        <f>+Alloc!Y250</f>
        <v>171349</v>
      </c>
      <c r="J64"/>
      <c r="K64" s="35">
        <f>+Alloc!AA250</f>
        <v>0</v>
      </c>
      <c r="L64"/>
      <c r="M64" s="35">
        <f>+Alloc!AC250</f>
        <v>0</v>
      </c>
      <c r="N64"/>
      <c r="O64" s="35">
        <f>+Alloc!AE250</f>
        <v>0</v>
      </c>
      <c r="P64" s="35">
        <f>+Alloc!AF250</f>
        <v>0</v>
      </c>
      <c r="Q64" s="35">
        <f>+Alloc!AG250</f>
        <v>0</v>
      </c>
    </row>
    <row r="65" spans="1:17">
      <c r="A65" s="514">
        <v>385</v>
      </c>
      <c r="B65"/>
      <c r="C65" s="95" t="s">
        <v>457</v>
      </c>
      <c r="D65"/>
      <c r="E65" s="278">
        <f t="shared" si="8"/>
        <v>6431544</v>
      </c>
      <c r="F65"/>
      <c r="G65" s="35">
        <f>+Alloc!W251</f>
        <v>0</v>
      </c>
      <c r="H65"/>
      <c r="I65" s="35">
        <f>+Alloc!Y251</f>
        <v>0</v>
      </c>
      <c r="J65"/>
      <c r="K65" s="35">
        <f>+Alloc!AA251</f>
        <v>0</v>
      </c>
      <c r="L65"/>
      <c r="M65" s="35">
        <f>+Alloc!AC251</f>
        <v>3861499</v>
      </c>
      <c r="N65"/>
      <c r="O65" s="35">
        <f>+Alloc!AE251</f>
        <v>1393072</v>
      </c>
      <c r="P65" s="35">
        <f>+Alloc!AF251</f>
        <v>0</v>
      </c>
      <c r="Q65" s="35">
        <f>+Alloc!AG251</f>
        <v>1176973</v>
      </c>
    </row>
    <row r="66" spans="1:17">
      <c r="A66" s="514">
        <v>390</v>
      </c>
      <c r="B66"/>
      <c r="C66" s="200" t="s">
        <v>292</v>
      </c>
      <c r="D66"/>
      <c r="E66" s="278">
        <f t="shared" si="8"/>
        <v>8377396</v>
      </c>
      <c r="F66" s="36" t="s">
        <v>354</v>
      </c>
      <c r="G66" s="37">
        <f>+Alloc!W263</f>
        <v>6870185</v>
      </c>
      <c r="H66" s="36"/>
      <c r="I66" s="37">
        <f>+Alloc!Y263</f>
        <v>941820</v>
      </c>
      <c r="J66" s="36"/>
      <c r="K66" s="37">
        <f>+Alloc!AA263</f>
        <v>265449</v>
      </c>
      <c r="L66" s="36"/>
      <c r="M66" s="37">
        <f>+Alloc!AC263</f>
        <v>197962</v>
      </c>
      <c r="N66" s="36"/>
      <c r="O66" s="37">
        <f>+Alloc!AE263</f>
        <v>46491</v>
      </c>
      <c r="P66" s="37">
        <f>+Alloc!AF263</f>
        <v>0</v>
      </c>
      <c r="Q66" s="37">
        <f>+Alloc!AG263</f>
        <v>55489</v>
      </c>
    </row>
    <row r="67" spans="1:17">
      <c r="A67" s="514">
        <v>391</v>
      </c>
      <c r="B67"/>
      <c r="C67" s="95" t="s">
        <v>612</v>
      </c>
      <c r="D67" s="36"/>
      <c r="E67" s="278">
        <f t="shared" si="8"/>
        <v>25216696</v>
      </c>
      <c r="F67" s="36" t="s">
        <v>354</v>
      </c>
      <c r="G67" s="37">
        <f>+Alloc!W264+Alloc!W279+Alloc!W286</f>
        <v>22534924</v>
      </c>
      <c r="H67" s="37"/>
      <c r="I67" s="37">
        <f>+Alloc!Y264+Alloc!Y279+Alloc!Y286</f>
        <v>2456974</v>
      </c>
      <c r="J67" s="37"/>
      <c r="K67" s="37">
        <f>+Alloc!AA264+Alloc!AA279+Alloc!AA286</f>
        <v>125522</v>
      </c>
      <c r="L67" s="37"/>
      <c r="M67" s="37">
        <f>+Alloc!AC264+Alloc!AC279+Alloc!AC286</f>
        <v>67235</v>
      </c>
      <c r="N67" s="37"/>
      <c r="O67" s="37">
        <f>+Alloc!AE264+Alloc!AE279+Alloc!AE286</f>
        <v>13756</v>
      </c>
      <c r="P67" s="37"/>
      <c r="Q67" s="37">
        <f>+Alloc!AG264+Alloc!AG279+Alloc!AG286</f>
        <v>18285</v>
      </c>
    </row>
    <row r="68" spans="1:17">
      <c r="A68" s="96"/>
      <c r="B68"/>
      <c r="C68" s="200" t="s">
        <v>356</v>
      </c>
      <c r="D68"/>
      <c r="E68" s="278">
        <f t="shared" si="8"/>
        <v>-43239888</v>
      </c>
      <c r="F68" s="36" t="s">
        <v>354</v>
      </c>
      <c r="G68" s="37">
        <f>+Alloc!W309</f>
        <v>-34215294</v>
      </c>
      <c r="H68" s="36"/>
      <c r="I68" s="37">
        <f>+Alloc!Y309</f>
        <v>-6040083</v>
      </c>
      <c r="J68" s="36"/>
      <c r="K68" s="37">
        <f>+Alloc!AA309</f>
        <v>-1148800</v>
      </c>
      <c r="L68" s="36"/>
      <c r="M68" s="37">
        <f>+Alloc!AC309</f>
        <v>-1196173</v>
      </c>
      <c r="N68" s="36"/>
      <c r="O68" s="37">
        <f>+Alloc!AE309</f>
        <v>-307926</v>
      </c>
      <c r="P68" s="37">
        <f>+Alloc!AF309</f>
        <v>0</v>
      </c>
      <c r="Q68" s="37">
        <f>+Alloc!AG309</f>
        <v>-331612</v>
      </c>
    </row>
    <row r="69" spans="1:17">
      <c r="A69" s="96"/>
      <c r="B69" s="95"/>
      <c r="C69" s="95" t="s">
        <v>41</v>
      </c>
      <c r="D69" s="95"/>
      <c r="E69" s="280">
        <f t="shared" si="8"/>
        <v>-4975000</v>
      </c>
      <c r="F69" s="336"/>
      <c r="G69" s="299">
        <f>+Alloc!W310</f>
        <v>-4495410</v>
      </c>
      <c r="H69" s="336"/>
      <c r="I69" s="299">
        <f>+Alloc!Y310</f>
        <v>-479590</v>
      </c>
      <c r="J69" s="336"/>
      <c r="K69" s="299">
        <f>+Alloc!AA310</f>
        <v>0</v>
      </c>
      <c r="L69" s="336"/>
      <c r="M69" s="299">
        <f>+Alloc!AC310</f>
        <v>0</v>
      </c>
      <c r="N69" s="336"/>
      <c r="O69" s="299">
        <f>+Alloc!AE310</f>
        <v>0</v>
      </c>
      <c r="P69" s="336">
        <f>+Alloc!AF310</f>
        <v>0</v>
      </c>
      <c r="Q69" s="299">
        <f>+Alloc!AG310</f>
        <v>0</v>
      </c>
    </row>
    <row r="70" spans="1:17" ht="9" customHeight="1">
      <c r="A70" s="96"/>
      <c r="B70" s="12"/>
      <c r="C70" s="12"/>
      <c r="D70" s="12"/>
      <c r="E70" s="12"/>
      <c r="F70" s="1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</row>
    <row r="71" spans="1:17">
      <c r="A71" s="96" t="s">
        <v>148</v>
      </c>
      <c r="B71" s="12"/>
      <c r="C71" s="12"/>
      <c r="D71" s="12"/>
      <c r="E71" s="38">
        <f>SUM(E60:E70)</f>
        <v>189201434</v>
      </c>
      <c r="F71" s="12"/>
      <c r="G71" s="38">
        <f>SUM(G60:G70)</f>
        <v>149341487</v>
      </c>
      <c r="H71" s="12"/>
      <c r="I71" s="38">
        <f>SUM(I60:I70)</f>
        <v>26773113</v>
      </c>
      <c r="J71" s="12"/>
      <c r="K71" s="38">
        <f>SUM(K60:K70)</f>
        <v>4958560</v>
      </c>
      <c r="L71" s="12"/>
      <c r="M71" s="38">
        <f>SUM(M60:M70)</f>
        <v>5301365</v>
      </c>
      <c r="N71" s="12"/>
      <c r="O71" s="38">
        <f>SUM(O60:O70)</f>
        <v>1338950</v>
      </c>
      <c r="P71" s="12"/>
      <c r="Q71" s="38">
        <f t="shared" ref="Q71" si="9">SUM(Q60:Q70)</f>
        <v>1487959</v>
      </c>
    </row>
    <row r="72" spans="1:17" ht="7.9" customHeight="1">
      <c r="A72" s="96"/>
      <c r="B72" s="12"/>
      <c r="C72" s="12"/>
      <c r="D72" s="12"/>
      <c r="E72" s="12"/>
      <c r="F72" s="12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</row>
    <row r="73" spans="1:17">
      <c r="A73" s="96" t="s">
        <v>142</v>
      </c>
      <c r="B73" s="12"/>
      <c r="C73" s="12"/>
      <c r="D73" s="12"/>
      <c r="E73" s="12"/>
      <c r="F73" s="12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</row>
    <row r="74" spans="1:17">
      <c r="B74" s="98" t="s">
        <v>143</v>
      </c>
      <c r="C74" s="274">
        <f>+(Alloc!I217+Alloc!I215)/Alloc!I314</f>
        <v>0.12282031178484283</v>
      </c>
      <c r="D74" s="12"/>
      <c r="E74" s="238">
        <f>+E71*$C$74</f>
        <v>23237779.114019364</v>
      </c>
      <c r="F74" s="12"/>
      <c r="G74" s="238">
        <f>+G71*$C$74</f>
        <v>18342167.995752051</v>
      </c>
      <c r="H74" s="12"/>
      <c r="I74" s="238">
        <f>+I71*$C$74</f>
        <v>3288282.0861108289</v>
      </c>
      <c r="J74" s="12"/>
      <c r="K74" s="238">
        <f>+K71*$C$74</f>
        <v>609011.88520385022</v>
      </c>
      <c r="L74" s="12"/>
      <c r="M74" s="238">
        <f>+M71*$C$74</f>
        <v>651115.30218525336</v>
      </c>
      <c r="N74" s="12"/>
      <c r="O74" s="238">
        <f>+O71*$C$74</f>
        <v>164450.25646431532</v>
      </c>
      <c r="P74" s="12"/>
      <c r="Q74" s="238">
        <f t="shared" ref="Q74" si="10">+Q71*$C$74</f>
        <v>182751.58830306295</v>
      </c>
    </row>
    <row r="75" spans="1:17" ht="7.9" customHeight="1">
      <c r="A75" s="96"/>
      <c r="B75" s="12"/>
      <c r="C75" s="12"/>
      <c r="D75" s="12"/>
      <c r="E75" s="12"/>
      <c r="F75" s="12"/>
      <c r="G75" s="33"/>
      <c r="H75" s="33"/>
      <c r="I75" s="33"/>
      <c r="J75" s="33"/>
      <c r="K75" s="33"/>
      <c r="L75" s="33"/>
      <c r="M75" s="33"/>
      <c r="N75" s="33"/>
      <c r="O75" s="33"/>
      <c r="P75" s="33"/>
    </row>
    <row r="76" spans="1:17" ht="7.15" customHeight="1">
      <c r="A76" s="96"/>
      <c r="B76" s="12"/>
      <c r="C76" s="12"/>
      <c r="D76" s="12"/>
      <c r="E76" s="12"/>
      <c r="F76" s="12"/>
      <c r="G76" s="33"/>
      <c r="H76" s="33"/>
      <c r="I76" s="33"/>
      <c r="J76" s="33"/>
      <c r="K76" s="33"/>
      <c r="L76" s="33"/>
      <c r="M76" s="33"/>
      <c r="N76" s="33"/>
      <c r="O76" s="33"/>
      <c r="P76" s="33"/>
    </row>
    <row r="77" spans="1:17" ht="15.75" thickBot="1">
      <c r="A77" s="96" t="s">
        <v>144</v>
      </c>
      <c r="B77" s="12"/>
      <c r="C77" s="12"/>
      <c r="D77" s="12"/>
      <c r="E77" s="490">
        <f>+SUM(G77:Q77)</f>
        <v>60238558.114019364</v>
      </c>
      <c r="F77" s="12"/>
      <c r="G77" s="490">
        <f>+G74+G57+G44</f>
        <v>48425899.995752051</v>
      </c>
      <c r="H77" s="12"/>
      <c r="I77" s="490">
        <f>+I74+I57+I44</f>
        <v>7726125.0861108284</v>
      </c>
      <c r="J77" s="12"/>
      <c r="K77" s="490">
        <f>+K74+K57+K44</f>
        <v>1706462.8852038502</v>
      </c>
      <c r="L77" s="12"/>
      <c r="M77" s="490">
        <f>+M74+M57+M44</f>
        <v>1561005.3021852532</v>
      </c>
      <c r="N77" s="12"/>
      <c r="O77" s="490">
        <f>+O74+O57+O44</f>
        <v>382820.25646431535</v>
      </c>
      <c r="P77" s="32"/>
      <c r="Q77" s="490">
        <f>+Q74+Q57+Q44</f>
        <v>436244.58830306295</v>
      </c>
    </row>
    <row r="78" spans="1:17" ht="15.75" thickTop="1">
      <c r="A78" s="96"/>
      <c r="B78" s="12"/>
      <c r="C78" s="12"/>
      <c r="D78" s="12"/>
      <c r="E78" s="33"/>
      <c r="F78" s="12"/>
      <c r="G78" s="33"/>
      <c r="H78" s="12"/>
      <c r="I78" s="33"/>
      <c r="J78" s="12"/>
      <c r="K78" s="33"/>
      <c r="L78" s="12"/>
      <c r="M78" s="33"/>
      <c r="N78" s="12"/>
      <c r="O78" s="33"/>
    </row>
    <row r="79" spans="1:17">
      <c r="A79" s="96" t="s">
        <v>622</v>
      </c>
      <c r="B79" s="12"/>
      <c r="C79" s="12"/>
      <c r="D79" s="12"/>
      <c r="E79" s="280">
        <f>+SUM(G79:Q79)</f>
        <v>5349275</v>
      </c>
      <c r="F79" s="12"/>
      <c r="G79" s="38">
        <v>4956403</v>
      </c>
      <c r="H79" s="37"/>
      <c r="I79" s="38">
        <v>223175</v>
      </c>
      <c r="J79" s="37"/>
      <c r="K79" s="38">
        <v>169697</v>
      </c>
      <c r="L79" s="37"/>
      <c r="M79" s="38">
        <v>0</v>
      </c>
      <c r="N79" s="37"/>
      <c r="O79" s="38">
        <v>0</v>
      </c>
      <c r="P79" s="37"/>
      <c r="Q79" s="38">
        <v>0</v>
      </c>
    </row>
    <row r="80" spans="1:17" ht="25.15" customHeight="1" thickBot="1">
      <c r="A80" s="96"/>
      <c r="B80" s="12"/>
      <c r="C80" s="96" t="s">
        <v>178</v>
      </c>
      <c r="D80" s="12"/>
      <c r="E80" s="641">
        <f t="shared" ref="E80" si="11">+E77-E79</f>
        <v>54889283.114019364</v>
      </c>
      <c r="F80" s="640"/>
      <c r="G80" s="641">
        <f>+G77-G79</f>
        <v>43469496.995752051</v>
      </c>
      <c r="H80" s="640"/>
      <c r="I80" s="641">
        <f t="shared" ref="I80:Q80" si="12">+I77-I79</f>
        <v>7502950.0861108284</v>
      </c>
      <c r="J80" s="640"/>
      <c r="K80" s="641">
        <f t="shared" si="12"/>
        <v>1536765.8852038502</v>
      </c>
      <c r="L80" s="640"/>
      <c r="M80" s="641">
        <f t="shared" ref="M80" si="13">+M77-M79</f>
        <v>1561005.3021852532</v>
      </c>
      <c r="N80" s="640">
        <f t="shared" si="12"/>
        <v>0</v>
      </c>
      <c r="O80" s="641">
        <f t="shared" si="12"/>
        <v>382820.25646431535</v>
      </c>
      <c r="P80" s="640">
        <f t="shared" si="12"/>
        <v>0</v>
      </c>
      <c r="Q80" s="641">
        <f t="shared" si="12"/>
        <v>436244.58830306295</v>
      </c>
    </row>
    <row r="81" spans="1:17" ht="10.9" customHeight="1" thickTop="1">
      <c r="A81" s="96"/>
      <c r="B81" s="12"/>
      <c r="C81" s="12"/>
      <c r="D81" s="12"/>
      <c r="E81" s="33"/>
      <c r="F81" s="12"/>
      <c r="G81" s="33"/>
      <c r="H81" s="12"/>
      <c r="I81" s="33"/>
      <c r="J81" s="12"/>
      <c r="K81" s="33"/>
      <c r="L81" s="12"/>
      <c r="M81" s="33"/>
      <c r="N81" s="12"/>
      <c r="O81" s="33"/>
    </row>
    <row r="82" spans="1:17">
      <c r="A82" s="41" t="s">
        <v>17</v>
      </c>
      <c r="B82" s="12"/>
      <c r="C82" s="12"/>
      <c r="D82" s="12"/>
      <c r="E82" s="278">
        <f>+SUM(G82:Q82)</f>
        <v>2028624</v>
      </c>
      <c r="F82" s="12"/>
      <c r="G82" s="32">
        <f>+G12</f>
        <v>1826208</v>
      </c>
      <c r="H82" s="12"/>
      <c r="I82" s="32">
        <f>+I12</f>
        <v>194916</v>
      </c>
      <c r="J82" s="12"/>
      <c r="K82" s="32">
        <f>+K12</f>
        <v>5268</v>
      </c>
      <c r="L82" s="12"/>
      <c r="M82" s="32">
        <f>+M12</f>
        <v>1656</v>
      </c>
      <c r="N82" s="12"/>
      <c r="O82" s="32">
        <f>+O12</f>
        <v>180</v>
      </c>
      <c r="P82" s="32"/>
      <c r="Q82" s="32">
        <f>+Q12</f>
        <v>396</v>
      </c>
    </row>
    <row r="83" spans="1:17">
      <c r="A83" s="41"/>
      <c r="B83" s="12"/>
      <c r="C83" s="12"/>
      <c r="D83" s="12"/>
      <c r="E83" s="32"/>
      <c r="F83" s="12"/>
      <c r="G83" s="32"/>
      <c r="H83" s="12"/>
      <c r="I83" s="32"/>
      <c r="J83" s="12"/>
      <c r="K83" s="32"/>
      <c r="L83" s="12"/>
      <c r="M83" s="32"/>
      <c r="N83" s="12"/>
      <c r="O83" s="32"/>
      <c r="P83" s="32"/>
      <c r="Q83" s="32"/>
    </row>
    <row r="84" spans="1:17" ht="15.75">
      <c r="A84" s="88" t="s">
        <v>145</v>
      </c>
      <c r="B84" s="94"/>
      <c r="C84" s="94"/>
      <c r="D84" s="94"/>
      <c r="E84" s="99"/>
      <c r="F84" s="94"/>
      <c r="G84" s="99">
        <f>G80/G82</f>
        <v>23.803146736709099</v>
      </c>
      <c r="H84" s="99"/>
      <c r="I84" s="99">
        <f t="shared" ref="I84:Q84" si="14">I80/I82</f>
        <v>38.493248815442698</v>
      </c>
      <c r="J84" s="99"/>
      <c r="K84" s="99">
        <f t="shared" si="14"/>
        <v>291.71713842138388</v>
      </c>
      <c r="L84" s="99"/>
      <c r="M84" s="99">
        <f t="shared" si="14"/>
        <v>942.63605204423504</v>
      </c>
      <c r="N84" s="99"/>
      <c r="O84" s="99">
        <f t="shared" si="14"/>
        <v>2126.7792025795297</v>
      </c>
      <c r="P84" s="99"/>
      <c r="Q84" s="99">
        <f t="shared" si="14"/>
        <v>1101.6277482400581</v>
      </c>
    </row>
    <row r="85" spans="1:17">
      <c r="A85" s="281"/>
      <c r="B85" s="281"/>
      <c r="C85" s="281"/>
    </row>
    <row r="86" spans="1:17">
      <c r="A86" s="1" t="s">
        <v>355</v>
      </c>
    </row>
  </sheetData>
  <mergeCells count="3">
    <mergeCell ref="A7:B7"/>
    <mergeCell ref="A1:Q1"/>
    <mergeCell ref="A3:Q3"/>
  </mergeCells>
  <phoneticPr fontId="10" type="noConversion"/>
  <printOptions horizontalCentered="1"/>
  <pageMargins left="0.4" right="0.4" top="0.75" bottom="0.2" header="0" footer="0"/>
  <pageSetup scale="80" orientation="landscape" r:id="rId1"/>
  <headerFooter alignWithMargins="0"/>
  <rowBreaks count="1" manualBreakCount="1">
    <brk id="45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topLeftCell="A4" workbookViewId="0">
      <selection activeCell="J13" sqref="J13"/>
    </sheetView>
  </sheetViews>
  <sheetFormatPr defaultRowHeight="15"/>
  <cols>
    <col min="2" max="2" width="17.5546875" customWidth="1"/>
    <col min="4" max="4" width="3" customWidth="1"/>
    <col min="6" max="6" width="11.77734375" customWidth="1"/>
    <col min="7" max="7" width="7.33203125" customWidth="1"/>
    <col min="8" max="8" width="11.21875" bestFit="1" customWidth="1"/>
  </cols>
  <sheetData>
    <row r="2" spans="2:18">
      <c r="B2" s="842" t="s">
        <v>635</v>
      </c>
      <c r="C2" s="842"/>
      <c r="D2" s="842"/>
      <c r="E2" s="842"/>
      <c r="F2" s="842"/>
      <c r="G2" s="842"/>
      <c r="H2" s="842"/>
    </row>
    <row r="4" spans="2:18">
      <c r="B4" s="844" t="s">
        <v>620</v>
      </c>
      <c r="C4" s="844"/>
      <c r="D4" s="844"/>
      <c r="E4" s="844"/>
      <c r="F4" s="844"/>
      <c r="G4" s="844"/>
      <c r="H4" s="844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2:18">
      <c r="B5" s="649"/>
      <c r="C5" s="649"/>
      <c r="D5" s="649"/>
      <c r="E5" s="649"/>
      <c r="F5" s="649"/>
      <c r="G5" s="649"/>
      <c r="H5" s="649"/>
      <c r="I5" s="41"/>
      <c r="J5" s="41"/>
      <c r="K5" s="41"/>
      <c r="L5" s="41"/>
      <c r="M5" s="41"/>
      <c r="N5" s="41"/>
      <c r="O5" s="41"/>
      <c r="P5" s="41"/>
      <c r="Q5" s="41"/>
      <c r="R5" s="41"/>
    </row>
    <row r="7" spans="2:18">
      <c r="B7" s="843" t="s">
        <v>614</v>
      </c>
      <c r="C7" s="843"/>
      <c r="F7" s="642" t="s">
        <v>320</v>
      </c>
      <c r="H7" s="642" t="s">
        <v>468</v>
      </c>
    </row>
    <row r="9" spans="2:18">
      <c r="B9" s="95" t="s">
        <v>214</v>
      </c>
      <c r="F9" s="643">
        <f>+Alloc!Q201</f>
        <v>724448</v>
      </c>
      <c r="G9" s="644"/>
      <c r="H9" s="643">
        <f>+Alloc!S201</f>
        <v>1622693.3886712999</v>
      </c>
    </row>
    <row r="10" spans="2:18">
      <c r="F10" s="644"/>
      <c r="G10" s="644"/>
      <c r="H10" s="644"/>
    </row>
    <row r="11" spans="2:18">
      <c r="B11" s="95" t="s">
        <v>529</v>
      </c>
      <c r="F11" s="644">
        <f>+Alloc!Q211</f>
        <v>80727</v>
      </c>
      <c r="G11" s="644"/>
      <c r="H11" s="644">
        <f>+Alloc!S211</f>
        <v>229282</v>
      </c>
    </row>
    <row r="12" spans="2:18">
      <c r="F12" s="644"/>
      <c r="G12" s="644"/>
      <c r="H12" s="644"/>
    </row>
    <row r="13" spans="2:18">
      <c r="B13" s="95" t="s">
        <v>615</v>
      </c>
      <c r="F13" s="644">
        <f>+Alloc!Q215</f>
        <v>893578</v>
      </c>
      <c r="G13" s="644"/>
      <c r="H13" s="644">
        <f>+Alloc!S215</f>
        <v>1875650</v>
      </c>
    </row>
    <row r="14" spans="2:18">
      <c r="F14" s="644"/>
      <c r="G14" s="644"/>
      <c r="H14" s="644"/>
    </row>
    <row r="15" spans="2:18">
      <c r="B15" s="95" t="s">
        <v>616</v>
      </c>
      <c r="F15" s="645">
        <f>+Alloc!Q217</f>
        <v>1933421</v>
      </c>
      <c r="G15" s="644"/>
      <c r="H15" s="645">
        <f>+Alloc!S217</f>
        <v>4058317</v>
      </c>
    </row>
    <row r="16" spans="2:18">
      <c r="F16" s="646"/>
      <c r="G16" s="646"/>
      <c r="H16" s="646"/>
    </row>
    <row r="17" spans="2:8">
      <c r="B17" s="95" t="s">
        <v>617</v>
      </c>
      <c r="F17" s="647">
        <f>SUM(F9:F15)</f>
        <v>3632174</v>
      </c>
      <c r="G17" s="643"/>
      <c r="H17" s="647">
        <f t="shared" ref="H17" si="0">SUM(H9:H15)</f>
        <v>7785942.3886712994</v>
      </c>
    </row>
    <row r="18" spans="2:8">
      <c r="F18" s="646"/>
      <c r="G18" s="646"/>
      <c r="H18" s="646"/>
    </row>
    <row r="19" spans="2:8">
      <c r="B19" s="95" t="s">
        <v>618</v>
      </c>
      <c r="F19" s="643">
        <f>+F17/12</f>
        <v>302681.16666666669</v>
      </c>
      <c r="G19" s="431"/>
      <c r="H19" s="643">
        <f t="shared" ref="H19" si="1">+H17/12</f>
        <v>648828.53238927491</v>
      </c>
    </row>
    <row r="20" spans="2:8">
      <c r="F20" s="646"/>
      <c r="G20" s="646"/>
      <c r="H20" s="646"/>
    </row>
    <row r="21" spans="2:8">
      <c r="B21" s="95" t="s">
        <v>621</v>
      </c>
      <c r="F21" s="431">
        <v>26746</v>
      </c>
      <c r="G21" s="646"/>
      <c r="H21" s="431">
        <v>494708</v>
      </c>
    </row>
    <row r="22" spans="2:8">
      <c r="F22" s="646"/>
      <c r="G22" s="646"/>
      <c r="H22" s="646"/>
    </row>
    <row r="23" spans="2:8">
      <c r="B23" s="95" t="s">
        <v>619</v>
      </c>
      <c r="F23" s="648">
        <f>+F19/F21</f>
        <v>11.316876043769785</v>
      </c>
      <c r="G23" s="648"/>
      <c r="H23" s="648">
        <f t="shared" ref="H23" si="2">+H19/H21</f>
        <v>1.3115383870672699</v>
      </c>
    </row>
  </sheetData>
  <mergeCells count="3">
    <mergeCell ref="B7:C7"/>
    <mergeCell ref="B2:H2"/>
    <mergeCell ref="B4:H4"/>
  </mergeCells>
  <pageMargins left="1" right="0.95" top="1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4"/>
  </sheetPr>
  <dimension ref="A1:FTA302"/>
  <sheetViews>
    <sheetView zoomScale="75" zoomScaleNormal="75" workbookViewId="0">
      <selection activeCell="B266" sqref="B266"/>
    </sheetView>
  </sheetViews>
  <sheetFormatPr defaultRowHeight="15"/>
  <cols>
    <col min="1" max="1" width="13.21875" customWidth="1"/>
    <col min="2" max="2" width="14" customWidth="1"/>
    <col min="3" max="3" width="6.44140625" customWidth="1"/>
    <col min="4" max="4" width="44.21875" customWidth="1"/>
    <col min="5" max="5" width="1.21875" customWidth="1"/>
    <col min="6" max="6" width="15.109375" customWidth="1"/>
    <col min="7" max="7" width="1.44140625" customWidth="1"/>
    <col min="8" max="8" width="15.33203125" customWidth="1"/>
    <col min="9" max="9" width="16.88671875" customWidth="1"/>
    <col min="10" max="10" width="15.33203125" customWidth="1"/>
    <col min="11" max="11" width="17.33203125" style="108" customWidth="1"/>
    <col min="12" max="12" width="13.109375" bestFit="1" customWidth="1"/>
    <col min="13" max="13" width="15.109375" style="108" bestFit="1" customWidth="1"/>
    <col min="14" max="14" width="25.6640625" customWidth="1"/>
    <col min="15" max="16" width="15.109375" bestFit="1" customWidth="1"/>
  </cols>
  <sheetData>
    <row r="1" spans="1:13" ht="15.75">
      <c r="A1" s="114"/>
      <c r="B1" s="114"/>
      <c r="C1" s="114"/>
      <c r="D1" s="115" t="s">
        <v>635</v>
      </c>
      <c r="E1" s="116"/>
      <c r="F1" s="109"/>
      <c r="G1" s="110"/>
      <c r="H1" s="111"/>
      <c r="I1" s="112"/>
      <c r="J1" s="111"/>
    </row>
    <row r="2" spans="1:13" ht="15.75">
      <c r="A2" s="114"/>
      <c r="B2" s="114"/>
      <c r="C2" s="114"/>
      <c r="D2" s="117" t="s">
        <v>636</v>
      </c>
      <c r="E2" s="116"/>
      <c r="F2" s="109"/>
      <c r="G2" s="110"/>
      <c r="H2" s="109"/>
      <c r="I2" s="113"/>
      <c r="J2" s="109"/>
    </row>
    <row r="3" spans="1:13" ht="15.75">
      <c r="A3" s="114"/>
      <c r="B3" s="114"/>
      <c r="C3" s="114"/>
      <c r="D3" s="118" t="s">
        <v>38</v>
      </c>
      <c r="E3" s="116"/>
      <c r="F3" s="109"/>
      <c r="G3" s="119"/>
      <c r="H3" s="110"/>
      <c r="I3" s="113"/>
      <c r="J3" s="110"/>
    </row>
    <row r="4" spans="1:13" ht="15.75">
      <c r="A4" s="825" t="s">
        <v>538</v>
      </c>
      <c r="B4" s="825"/>
      <c r="C4" s="114"/>
      <c r="D4" s="121"/>
      <c r="E4" s="121"/>
      <c r="F4" s="120"/>
      <c r="G4" s="128"/>
      <c r="H4" s="825" t="s">
        <v>540</v>
      </c>
      <c r="I4" s="825"/>
      <c r="J4" s="130"/>
    </row>
    <row r="5" spans="1:13" ht="15.75">
      <c r="A5" s="539" t="s">
        <v>524</v>
      </c>
      <c r="B5" s="532" t="s">
        <v>525</v>
      </c>
      <c r="C5" s="131" t="s">
        <v>42</v>
      </c>
      <c r="D5" s="121"/>
      <c r="E5" s="121"/>
      <c r="F5" s="120"/>
      <c r="G5" s="128"/>
      <c r="H5" s="531" t="s">
        <v>524</v>
      </c>
      <c r="I5" s="532" t="s">
        <v>525</v>
      </c>
      <c r="J5" s="130"/>
    </row>
    <row r="6" spans="1:13">
      <c r="A6" s="130"/>
      <c r="B6" s="113"/>
      <c r="C6" s="114" t="s">
        <v>43</v>
      </c>
      <c r="D6" s="121"/>
      <c r="E6" s="121"/>
      <c r="F6" s="120"/>
      <c r="G6" s="128"/>
      <c r="H6" s="130"/>
      <c r="I6" s="113"/>
      <c r="J6" s="130"/>
    </row>
    <row r="7" spans="1:13">
      <c r="A7" s="130">
        <v>0</v>
      </c>
      <c r="B7" s="113">
        <v>0</v>
      </c>
      <c r="C7" s="114"/>
      <c r="D7" s="324" t="s">
        <v>57</v>
      </c>
      <c r="E7" s="121"/>
      <c r="F7" s="120">
        <v>710</v>
      </c>
      <c r="G7" s="128"/>
      <c r="H7" s="130">
        <f>ROUND(+A7*1000,-3)</f>
        <v>0</v>
      </c>
      <c r="I7" s="130">
        <f>ROUND(+B7*1000,-3)</f>
        <v>0</v>
      </c>
      <c r="J7" s="124"/>
    </row>
    <row r="8" spans="1:13">
      <c r="A8" s="130">
        <v>0</v>
      </c>
      <c r="B8" s="113">
        <v>0</v>
      </c>
      <c r="C8" s="114"/>
      <c r="D8" s="324" t="s">
        <v>475</v>
      </c>
      <c r="E8" s="121"/>
      <c r="F8" s="120">
        <v>717</v>
      </c>
      <c r="G8" s="128"/>
      <c r="H8" s="130">
        <f t="shared" ref="H8:H11" si="0">ROUND(+A8*1000,-3)</f>
        <v>0</v>
      </c>
      <c r="I8" s="130">
        <f t="shared" ref="I8:I11" si="1">ROUND(+B8*1000,-3)</f>
        <v>0</v>
      </c>
      <c r="J8" s="124"/>
    </row>
    <row r="9" spans="1:13">
      <c r="A9" s="130"/>
      <c r="B9" s="113"/>
      <c r="C9" s="114"/>
      <c r="D9" s="324"/>
      <c r="E9" s="121"/>
      <c r="F9" s="120"/>
      <c r="G9" s="128"/>
      <c r="H9" s="130"/>
      <c r="I9" s="130"/>
      <c r="J9" s="124"/>
    </row>
    <row r="10" spans="1:13">
      <c r="A10" s="130">
        <v>0</v>
      </c>
      <c r="B10" s="113">
        <v>0</v>
      </c>
      <c r="C10" s="114"/>
      <c r="D10" s="324" t="s">
        <v>476</v>
      </c>
      <c r="E10" s="121"/>
      <c r="F10" s="120" t="s">
        <v>45</v>
      </c>
      <c r="G10" s="128"/>
      <c r="H10" s="130">
        <f t="shared" si="0"/>
        <v>0</v>
      </c>
      <c r="I10" s="130">
        <f t="shared" si="1"/>
        <v>0</v>
      </c>
      <c r="J10" s="124"/>
    </row>
    <row r="11" spans="1:13">
      <c r="A11" s="130">
        <v>1442.3333333333333</v>
      </c>
      <c r="B11" s="113">
        <v>0</v>
      </c>
      <c r="C11" s="114"/>
      <c r="D11" s="324" t="s">
        <v>44</v>
      </c>
      <c r="E11" s="121"/>
      <c r="F11" s="122" t="s">
        <v>47</v>
      </c>
      <c r="G11" s="128"/>
      <c r="H11" s="130">
        <f t="shared" si="0"/>
        <v>1442000</v>
      </c>
      <c r="I11" s="130">
        <f t="shared" si="1"/>
        <v>0</v>
      </c>
      <c r="J11" s="124"/>
    </row>
    <row r="12" spans="1:13">
      <c r="A12" s="132">
        <f>SUM(A7:A11)</f>
        <v>1442.3333333333333</v>
      </c>
      <c r="B12" s="132">
        <f>SUM(B7:B11)</f>
        <v>0</v>
      </c>
      <c r="C12" s="114"/>
      <c r="D12" s="122" t="s">
        <v>48</v>
      </c>
      <c r="E12" s="121"/>
      <c r="F12" s="120"/>
      <c r="G12" s="128"/>
      <c r="H12" s="132">
        <f>SUM(H7:H11)</f>
        <v>1442000</v>
      </c>
      <c r="I12" s="132">
        <f>SUM(I7:I11)</f>
        <v>0</v>
      </c>
      <c r="J12" s="132"/>
    </row>
    <row r="13" spans="1:13">
      <c r="A13" s="110"/>
      <c r="B13" s="113"/>
      <c r="C13" s="114"/>
      <c r="D13" s="120"/>
      <c r="E13" s="110"/>
      <c r="F13" s="120"/>
      <c r="G13" s="128"/>
      <c r="H13" s="110"/>
      <c r="I13" s="113"/>
      <c r="J13" s="110"/>
    </row>
    <row r="14" spans="1:13" s="200" customFormat="1">
      <c r="A14" s="110"/>
      <c r="B14" s="113"/>
      <c r="C14" s="127" t="s">
        <v>367</v>
      </c>
      <c r="D14" s="120"/>
      <c r="E14" s="110"/>
      <c r="F14" s="120"/>
      <c r="G14" s="128"/>
      <c r="H14" s="110"/>
      <c r="I14" s="113"/>
      <c r="J14" s="110"/>
      <c r="K14" s="216"/>
      <c r="M14" s="216"/>
    </row>
    <row r="15" spans="1:13" s="200" customFormat="1">
      <c r="A15" s="110">
        <v>0</v>
      </c>
      <c r="B15" s="113">
        <v>0</v>
      </c>
      <c r="C15" s="127"/>
      <c r="D15" s="324" t="s">
        <v>368</v>
      </c>
      <c r="E15" s="110"/>
      <c r="F15" s="478" t="s">
        <v>370</v>
      </c>
      <c r="G15" s="128"/>
      <c r="H15" s="130">
        <f t="shared" ref="H15:H18" si="2">ROUND(+A15*1000,-3)</f>
        <v>0</v>
      </c>
      <c r="I15" s="130">
        <f t="shared" ref="I15:I18" si="3">ROUND(+B15*1000,-3)</f>
        <v>0</v>
      </c>
      <c r="J15" s="124"/>
      <c r="K15" s="216"/>
      <c r="M15" s="216"/>
    </row>
    <row r="16" spans="1:13" s="200" customFormat="1">
      <c r="A16" s="110">
        <v>0</v>
      </c>
      <c r="B16" s="113">
        <v>0</v>
      </c>
      <c r="C16" s="127"/>
      <c r="D16" s="324" t="s">
        <v>369</v>
      </c>
      <c r="E16" s="110"/>
      <c r="F16" s="478" t="s">
        <v>371</v>
      </c>
      <c r="G16" s="128"/>
      <c r="H16" s="130">
        <f t="shared" si="2"/>
        <v>0</v>
      </c>
      <c r="I16" s="130">
        <f t="shared" si="3"/>
        <v>0</v>
      </c>
      <c r="J16" s="124"/>
      <c r="K16" s="216"/>
      <c r="M16" s="216"/>
    </row>
    <row r="17" spans="1:13" s="200" customFormat="1">
      <c r="A17" s="110">
        <v>0</v>
      </c>
      <c r="B17" s="113">
        <v>0</v>
      </c>
      <c r="C17" s="127"/>
      <c r="D17" s="324" t="s">
        <v>477</v>
      </c>
      <c r="E17" s="110"/>
      <c r="F17" s="478" t="s">
        <v>479</v>
      </c>
      <c r="G17" s="128"/>
      <c r="H17" s="130">
        <f t="shared" si="2"/>
        <v>0</v>
      </c>
      <c r="I17" s="130">
        <f t="shared" si="3"/>
        <v>0</v>
      </c>
      <c r="J17" s="124"/>
      <c r="K17" s="216"/>
      <c r="M17" s="216"/>
    </row>
    <row r="18" spans="1:13" s="200" customFormat="1">
      <c r="A18" s="163">
        <v>0</v>
      </c>
      <c r="B18" s="533">
        <v>0</v>
      </c>
      <c r="C18" s="127"/>
      <c r="D18" s="324" t="s">
        <v>478</v>
      </c>
      <c r="E18" s="110"/>
      <c r="F18" s="478" t="s">
        <v>480</v>
      </c>
      <c r="G18" s="128"/>
      <c r="H18" s="542">
        <f t="shared" si="2"/>
        <v>0</v>
      </c>
      <c r="I18" s="542">
        <f t="shared" si="3"/>
        <v>0</v>
      </c>
      <c r="J18" s="124"/>
      <c r="K18" s="216"/>
      <c r="M18" s="216"/>
    </row>
    <row r="19" spans="1:13" s="200" customFormat="1">
      <c r="A19" s="110">
        <f>SUM(A15:A18)</f>
        <v>0</v>
      </c>
      <c r="B19" s="110">
        <f>SUM(B15:B18)</f>
        <v>0</v>
      </c>
      <c r="C19" s="127"/>
      <c r="D19" s="120" t="s">
        <v>372</v>
      </c>
      <c r="E19" s="110"/>
      <c r="F19" s="120"/>
      <c r="G19" s="128"/>
      <c r="H19" s="110">
        <f>SUM(H15:H18)</f>
        <v>0</v>
      </c>
      <c r="I19" s="110">
        <f>SUM(I15:I18)</f>
        <v>0</v>
      </c>
      <c r="J19" s="132"/>
      <c r="K19" s="216"/>
      <c r="M19" s="216"/>
    </row>
    <row r="20" spans="1:13" s="200" customFormat="1">
      <c r="A20" s="110"/>
      <c r="B20" s="113"/>
      <c r="C20" s="127"/>
      <c r="D20" s="120"/>
      <c r="E20" s="110"/>
      <c r="F20" s="120"/>
      <c r="G20" s="128"/>
      <c r="H20" s="110"/>
      <c r="I20" s="113"/>
      <c r="J20" s="110"/>
      <c r="K20" s="216"/>
      <c r="M20" s="216"/>
    </row>
    <row r="21" spans="1:13" s="200" customFormat="1" ht="15.75">
      <c r="A21" s="110"/>
      <c r="B21" s="111"/>
      <c r="C21" s="127" t="s">
        <v>49</v>
      </c>
      <c r="D21" s="133"/>
      <c r="E21" s="110"/>
      <c r="F21" s="120"/>
      <c r="G21" s="128"/>
      <c r="H21" s="110"/>
      <c r="I21" s="111"/>
      <c r="J21" s="110"/>
      <c r="K21" s="216"/>
      <c r="M21" s="216"/>
    </row>
    <row r="22" spans="1:13" s="200" customFormat="1">
      <c r="A22" s="130">
        <v>0</v>
      </c>
      <c r="B22" s="113">
        <v>0</v>
      </c>
      <c r="C22" s="127"/>
      <c r="D22" s="324" t="s">
        <v>482</v>
      </c>
      <c r="E22" s="110"/>
      <c r="F22" s="514" t="s">
        <v>486</v>
      </c>
      <c r="G22" s="128"/>
      <c r="H22" s="130">
        <f t="shared" ref="H22:H32" si="4">ROUND(+A22*1000,-3)</f>
        <v>0</v>
      </c>
      <c r="I22" s="130">
        <f t="shared" ref="I22:I32" si="5">ROUND(+B22*1000,-3)</f>
        <v>0</v>
      </c>
      <c r="J22" s="124"/>
      <c r="K22" s="216"/>
      <c r="M22" s="216"/>
    </row>
    <row r="23" spans="1:13" s="200" customFormat="1">
      <c r="A23" s="130">
        <v>92455.445999999996</v>
      </c>
      <c r="B23" s="113">
        <v>0</v>
      </c>
      <c r="C23" s="127"/>
      <c r="D23" s="324" t="s">
        <v>50</v>
      </c>
      <c r="E23" s="110"/>
      <c r="F23" s="515">
        <v>804</v>
      </c>
      <c r="G23" s="128"/>
      <c r="H23" s="130">
        <f t="shared" si="4"/>
        <v>92455000</v>
      </c>
      <c r="I23" s="130">
        <f t="shared" si="5"/>
        <v>0</v>
      </c>
      <c r="J23" s="124"/>
      <c r="K23" s="216"/>
      <c r="M23" s="216"/>
    </row>
    <row r="24" spans="1:13" s="200" customFormat="1">
      <c r="A24" s="130">
        <v>0</v>
      </c>
      <c r="B24" s="113">
        <v>0</v>
      </c>
      <c r="C24" s="127"/>
      <c r="D24" s="324" t="s">
        <v>483</v>
      </c>
      <c r="E24" s="110"/>
      <c r="F24" s="515">
        <v>804.1</v>
      </c>
      <c r="G24" s="128"/>
      <c r="H24" s="130">
        <f t="shared" si="4"/>
        <v>0</v>
      </c>
      <c r="I24" s="130">
        <f t="shared" si="5"/>
        <v>0</v>
      </c>
      <c r="J24" s="124"/>
      <c r="K24" s="216"/>
      <c r="M24" s="216"/>
    </row>
    <row r="25" spans="1:13" s="200" customFormat="1">
      <c r="A25" s="130">
        <v>0</v>
      </c>
      <c r="B25" s="113">
        <v>0</v>
      </c>
      <c r="C25" s="127"/>
      <c r="D25" s="324" t="s">
        <v>51</v>
      </c>
      <c r="E25" s="110"/>
      <c r="F25" s="515">
        <v>805</v>
      </c>
      <c r="G25" s="128"/>
      <c r="H25" s="130">
        <f t="shared" si="4"/>
        <v>0</v>
      </c>
      <c r="I25" s="130">
        <f t="shared" si="5"/>
        <v>0</v>
      </c>
      <c r="J25" s="124"/>
      <c r="K25" s="216"/>
      <c r="M25" s="216"/>
    </row>
    <row r="26" spans="1:13" s="200" customFormat="1">
      <c r="A26" s="130">
        <v>-27696.833224893326</v>
      </c>
      <c r="B26" s="113">
        <v>0</v>
      </c>
      <c r="C26" s="127"/>
      <c r="D26" s="324" t="s">
        <v>52</v>
      </c>
      <c r="E26" s="110"/>
      <c r="F26" s="514">
        <v>805.1</v>
      </c>
      <c r="G26" s="128"/>
      <c r="H26" s="130">
        <f t="shared" si="4"/>
        <v>-27697000</v>
      </c>
      <c r="I26" s="130">
        <f t="shared" si="5"/>
        <v>0</v>
      </c>
      <c r="J26" s="124"/>
      <c r="K26" s="216"/>
      <c r="M26" s="216"/>
    </row>
    <row r="27" spans="1:13" s="200" customFormat="1">
      <c r="A27" s="130">
        <v>0</v>
      </c>
      <c r="B27" s="113">
        <v>0</v>
      </c>
      <c r="C27" s="127"/>
      <c r="D27" s="324" t="s">
        <v>484</v>
      </c>
      <c r="E27" s="110"/>
      <c r="F27" s="514">
        <v>806</v>
      </c>
      <c r="G27" s="128"/>
      <c r="H27" s="130">
        <f t="shared" si="4"/>
        <v>0</v>
      </c>
      <c r="I27" s="130">
        <f t="shared" si="5"/>
        <v>0</v>
      </c>
      <c r="J27" s="124"/>
      <c r="K27" s="216"/>
      <c r="M27" s="216"/>
    </row>
    <row r="28" spans="1:13" s="200" customFormat="1">
      <c r="A28" s="130">
        <v>0</v>
      </c>
      <c r="B28" s="113">
        <v>0</v>
      </c>
      <c r="C28" s="127"/>
      <c r="D28" s="324" t="s">
        <v>485</v>
      </c>
      <c r="E28" s="110"/>
      <c r="F28" s="514">
        <v>807</v>
      </c>
      <c r="G28" s="128"/>
      <c r="H28" s="130">
        <f t="shared" si="4"/>
        <v>0</v>
      </c>
      <c r="I28" s="130">
        <f t="shared" si="5"/>
        <v>0</v>
      </c>
      <c r="J28" s="124"/>
      <c r="K28" s="216"/>
      <c r="M28" s="216"/>
    </row>
    <row r="29" spans="1:13" s="200" customFormat="1">
      <c r="A29" s="130">
        <v>11332.06</v>
      </c>
      <c r="B29" s="113">
        <v>0</v>
      </c>
      <c r="C29" s="127"/>
      <c r="D29" s="324" t="s">
        <v>53</v>
      </c>
      <c r="E29" s="121"/>
      <c r="F29" s="514">
        <v>808.1</v>
      </c>
      <c r="G29" s="128"/>
      <c r="H29" s="130">
        <f t="shared" si="4"/>
        <v>11332000</v>
      </c>
      <c r="I29" s="130">
        <f t="shared" si="5"/>
        <v>0</v>
      </c>
      <c r="J29" s="124"/>
      <c r="K29" s="216"/>
      <c r="M29" s="216"/>
    </row>
    <row r="30" spans="1:13" s="200" customFormat="1">
      <c r="A30" s="130">
        <v>-12533.04</v>
      </c>
      <c r="B30" s="113">
        <v>0</v>
      </c>
      <c r="C30" s="127"/>
      <c r="D30" s="324" t="s">
        <v>308</v>
      </c>
      <c r="E30" s="121"/>
      <c r="F30" s="514">
        <v>808.2</v>
      </c>
      <c r="G30" s="128"/>
      <c r="H30" s="130">
        <f t="shared" si="4"/>
        <v>-12533000</v>
      </c>
      <c r="I30" s="130">
        <f t="shared" si="5"/>
        <v>0</v>
      </c>
      <c r="J30" s="124"/>
      <c r="K30" s="216"/>
      <c r="M30" s="216"/>
    </row>
    <row r="31" spans="1:13" s="200" customFormat="1">
      <c r="A31" s="130">
        <v>4</v>
      </c>
      <c r="B31" s="113">
        <v>0</v>
      </c>
      <c r="D31" s="324" t="s">
        <v>481</v>
      </c>
      <c r="E31" s="116"/>
      <c r="F31" s="514">
        <v>812</v>
      </c>
      <c r="G31" s="109"/>
      <c r="H31" s="130">
        <f t="shared" si="4"/>
        <v>4000</v>
      </c>
      <c r="I31" s="130">
        <f t="shared" si="5"/>
        <v>0</v>
      </c>
      <c r="J31" s="124"/>
      <c r="K31" s="216"/>
      <c r="M31" s="216"/>
    </row>
    <row r="32" spans="1:13" s="200" customFormat="1">
      <c r="A32" s="130">
        <v>0</v>
      </c>
      <c r="B32" s="113">
        <v>0</v>
      </c>
      <c r="D32" s="324" t="s">
        <v>229</v>
      </c>
      <c r="E32" s="116"/>
      <c r="F32" s="514">
        <v>813</v>
      </c>
      <c r="G32" s="109"/>
      <c r="H32" s="130">
        <f t="shared" si="4"/>
        <v>0</v>
      </c>
      <c r="I32" s="130">
        <f t="shared" si="5"/>
        <v>0</v>
      </c>
      <c r="J32" s="124"/>
      <c r="K32" s="216"/>
      <c r="M32" s="216"/>
    </row>
    <row r="33" spans="1:13" s="200" customFormat="1">
      <c r="A33" s="135">
        <f>SUM(A22:A32)</f>
        <v>63561.632775106664</v>
      </c>
      <c r="B33" s="135">
        <f>SUM(B22:B32)</f>
        <v>0</v>
      </c>
      <c r="D33" s="134" t="s">
        <v>54</v>
      </c>
      <c r="E33" s="116"/>
      <c r="F33" s="134"/>
      <c r="G33" s="109"/>
      <c r="H33" s="135">
        <f>SUM(H22:H32)</f>
        <v>63561000</v>
      </c>
      <c r="I33" s="135">
        <f>SUM(I22:I32)</f>
        <v>0</v>
      </c>
      <c r="J33" s="135"/>
      <c r="K33" s="216"/>
      <c r="M33" s="216"/>
    </row>
    <row r="34" spans="1:13" s="200" customFormat="1">
      <c r="A34" s="109"/>
      <c r="B34" s="276"/>
      <c r="D34" s="116"/>
      <c r="E34" s="116"/>
      <c r="F34" s="109"/>
      <c r="G34" s="109"/>
      <c r="H34" s="109"/>
      <c r="I34" s="276"/>
      <c r="J34" s="109"/>
      <c r="K34" s="216"/>
      <c r="M34" s="216"/>
    </row>
    <row r="35" spans="1:13" s="200" customFormat="1">
      <c r="A35" s="276"/>
      <c r="B35" s="276"/>
      <c r="C35" s="200" t="s">
        <v>373</v>
      </c>
      <c r="F35" s="276"/>
      <c r="G35" s="276"/>
      <c r="H35" s="276"/>
      <c r="I35" s="276"/>
      <c r="J35" s="109"/>
      <c r="K35" s="216"/>
      <c r="M35" s="216"/>
    </row>
    <row r="36" spans="1:13" s="200" customFormat="1">
      <c r="A36" s="307"/>
      <c r="B36" s="276"/>
      <c r="D36" s="200" t="s">
        <v>374</v>
      </c>
      <c r="F36" s="325" t="s">
        <v>410</v>
      </c>
      <c r="G36" s="276"/>
      <c r="H36" s="307"/>
      <c r="I36" s="276"/>
      <c r="J36" s="304"/>
      <c r="K36" s="216"/>
      <c r="M36" s="216"/>
    </row>
    <row r="37" spans="1:13" s="200" customFormat="1">
      <c r="A37" s="330"/>
      <c r="B37" s="276"/>
      <c r="D37" s="200" t="s">
        <v>65</v>
      </c>
      <c r="F37" s="325" t="s">
        <v>411</v>
      </c>
      <c r="G37" s="276"/>
      <c r="H37" s="330"/>
      <c r="I37" s="276"/>
      <c r="J37" s="305"/>
      <c r="K37" s="216"/>
      <c r="M37" s="216"/>
    </row>
    <row r="38" spans="1:13" s="200" customFormat="1">
      <c r="A38" s="308">
        <f>SUM(A36:A37)</f>
        <v>0</v>
      </c>
      <c r="B38" s="308">
        <f>SUM(B36:B37)</f>
        <v>0</v>
      </c>
      <c r="F38" s="325"/>
      <c r="G38" s="276"/>
      <c r="H38" s="308">
        <f>SUM(H36:H37)</f>
        <v>0</v>
      </c>
      <c r="I38" s="308">
        <f>SUM(I36:I37)</f>
        <v>0</v>
      </c>
      <c r="J38" s="306"/>
      <c r="K38" s="216"/>
      <c r="M38" s="216"/>
    </row>
    <row r="39" spans="1:13" s="200" customFormat="1">
      <c r="A39" s="308"/>
      <c r="B39" s="276"/>
      <c r="C39" s="200" t="s">
        <v>413</v>
      </c>
      <c r="F39" s="325"/>
      <c r="G39" s="276"/>
      <c r="H39" s="308"/>
      <c r="I39" s="276"/>
      <c r="J39" s="306"/>
      <c r="K39" s="216"/>
      <c r="M39" s="216"/>
    </row>
    <row r="40" spans="1:13" s="200" customFormat="1">
      <c r="A40" s="309">
        <v>33.433393522322653</v>
      </c>
      <c r="B40" s="113">
        <v>33.433393522322653</v>
      </c>
      <c r="D40" s="95" t="s">
        <v>490</v>
      </c>
      <c r="F40" s="515">
        <v>840</v>
      </c>
      <c r="G40" s="276"/>
      <c r="H40" s="130">
        <f t="shared" ref="H40:H42" si="6">ROUND(+A40*1000,-3)</f>
        <v>33000</v>
      </c>
      <c r="I40" s="130">
        <f t="shared" ref="I40:I42" si="7">ROUND(+B40*1000,-3)</f>
        <v>33000</v>
      </c>
      <c r="J40" s="304"/>
      <c r="K40" s="216"/>
      <c r="M40" s="216"/>
    </row>
    <row r="41" spans="1:13" s="200" customFormat="1">
      <c r="A41" s="309">
        <v>0</v>
      </c>
      <c r="B41" s="113">
        <v>0</v>
      </c>
      <c r="D41" s="95" t="s">
        <v>491</v>
      </c>
      <c r="F41" s="515">
        <v>841</v>
      </c>
      <c r="G41" s="276"/>
      <c r="H41" s="130">
        <f t="shared" si="6"/>
        <v>0</v>
      </c>
      <c r="I41" s="130">
        <f t="shared" si="7"/>
        <v>0</v>
      </c>
      <c r="J41" s="304"/>
      <c r="K41" s="216"/>
      <c r="M41" s="216"/>
    </row>
    <row r="42" spans="1:13" s="200" customFormat="1">
      <c r="A42" s="310">
        <v>0</v>
      </c>
      <c r="B42" s="533">
        <v>0</v>
      </c>
      <c r="D42" s="200" t="s">
        <v>492</v>
      </c>
      <c r="F42" s="515" t="s">
        <v>493</v>
      </c>
      <c r="G42" s="276"/>
      <c r="H42" s="542">
        <f t="shared" si="6"/>
        <v>0</v>
      </c>
      <c r="I42" s="542">
        <f t="shared" si="7"/>
        <v>0</v>
      </c>
      <c r="J42" s="305"/>
      <c r="K42" s="216"/>
      <c r="M42" s="216"/>
    </row>
    <row r="43" spans="1:13" s="276" customFormat="1">
      <c r="A43" s="309">
        <f>SUM(A40:A42)</f>
        <v>33.433393522322653</v>
      </c>
      <c r="B43" s="309">
        <f>SUM(B40:B42)</f>
        <v>33.433393522322653</v>
      </c>
      <c r="F43" s="325"/>
      <c r="H43" s="309">
        <f>SUM(H40:H42)</f>
        <v>33000</v>
      </c>
      <c r="I43" s="309">
        <f>SUM(I40:I42)</f>
        <v>33000</v>
      </c>
      <c r="J43" s="306"/>
      <c r="K43" s="311"/>
      <c r="M43" s="311"/>
    </row>
    <row r="44" spans="1:13" s="200" customFormat="1">
      <c r="A44" s="308"/>
      <c r="B44" s="276"/>
      <c r="C44" s="200" t="s">
        <v>375</v>
      </c>
      <c r="F44" s="325"/>
      <c r="G44" s="276"/>
      <c r="H44" s="308"/>
      <c r="I44" s="276"/>
      <c r="J44" s="306"/>
      <c r="K44" s="216"/>
      <c r="M44" s="216"/>
    </row>
    <row r="45" spans="1:13" s="200" customFormat="1">
      <c r="A45" s="309">
        <v>5.2532548160321373E-2</v>
      </c>
      <c r="B45" s="113">
        <v>4.0525325481603209</v>
      </c>
      <c r="D45" s="200" t="s">
        <v>376</v>
      </c>
      <c r="F45" s="325" t="s">
        <v>414</v>
      </c>
      <c r="G45" s="276"/>
      <c r="H45" s="130">
        <f t="shared" ref="H45:H46" si="8">ROUND(+A45*1000,-3)</f>
        <v>0</v>
      </c>
      <c r="I45" s="130">
        <f t="shared" ref="I45:I46" si="9">ROUND(+B45*1000,-3)</f>
        <v>4000</v>
      </c>
      <c r="J45" s="304"/>
      <c r="K45" s="216"/>
      <c r="M45" s="216"/>
    </row>
    <row r="46" spans="1:13" s="200" customFormat="1">
      <c r="A46" s="310">
        <v>1.0375178261663471</v>
      </c>
      <c r="B46" s="533">
        <v>80.037517826166351</v>
      </c>
      <c r="D46" s="200" t="s">
        <v>377</v>
      </c>
      <c r="F46" s="325" t="s">
        <v>415</v>
      </c>
      <c r="G46" s="276"/>
      <c r="H46" s="542">
        <f t="shared" si="8"/>
        <v>1000</v>
      </c>
      <c r="I46" s="542">
        <f t="shared" si="9"/>
        <v>80000</v>
      </c>
      <c r="J46" s="305"/>
      <c r="K46" s="216"/>
      <c r="M46" s="216"/>
    </row>
    <row r="47" spans="1:13" s="276" customFormat="1">
      <c r="A47" s="309">
        <f>SUM(A45:A46)</f>
        <v>1.0900503743266685</v>
      </c>
      <c r="B47" s="309">
        <f>SUM(B45:B46)</f>
        <v>84.090050374326665</v>
      </c>
      <c r="H47" s="309">
        <f>SUM(H45:H46)</f>
        <v>1000</v>
      </c>
      <c r="I47" s="309">
        <f>SUM(I45:I46)</f>
        <v>84000</v>
      </c>
      <c r="J47" s="306"/>
      <c r="K47" s="311"/>
      <c r="M47" s="311"/>
    </row>
    <row r="48" spans="1:13" s="200" customFormat="1">
      <c r="A48" s="276"/>
      <c r="B48" s="276"/>
      <c r="C48" s="200" t="s">
        <v>55</v>
      </c>
      <c r="F48" s="276"/>
      <c r="G48" s="276"/>
      <c r="H48" s="276"/>
      <c r="I48" s="276"/>
      <c r="J48" s="109"/>
      <c r="K48" s="216"/>
      <c r="M48" s="216"/>
    </row>
    <row r="49" spans="1:10">
      <c r="A49" s="109"/>
      <c r="B49" s="112"/>
      <c r="C49" s="95" t="s">
        <v>56</v>
      </c>
      <c r="D49" s="116"/>
      <c r="E49" s="116"/>
      <c r="F49" s="109"/>
      <c r="G49" s="109"/>
      <c r="H49" s="109"/>
      <c r="I49" s="112"/>
      <c r="J49" s="109"/>
    </row>
    <row r="50" spans="1:10">
      <c r="A50" s="170">
        <v>2076.716563909431</v>
      </c>
      <c r="B50" s="113">
        <v>1906.7165639094312</v>
      </c>
      <c r="C50" s="95"/>
      <c r="D50" s="116" t="s">
        <v>57</v>
      </c>
      <c r="E50" s="116"/>
      <c r="F50" s="134">
        <v>870</v>
      </c>
      <c r="G50" s="109"/>
      <c r="H50" s="130">
        <f t="shared" ref="H50:H61" si="10">ROUND(+A50*1000,-3)</f>
        <v>2077000</v>
      </c>
      <c r="I50" s="130">
        <f t="shared" ref="I50:I61" si="11">ROUND(+B50*1000,-3)</f>
        <v>1907000</v>
      </c>
      <c r="J50" s="124"/>
    </row>
    <row r="51" spans="1:10">
      <c r="A51" s="170">
        <v>657.27391429288775</v>
      </c>
      <c r="B51" s="113">
        <v>98.273914292887795</v>
      </c>
      <c r="C51" s="95"/>
      <c r="D51" s="116" t="s">
        <v>58</v>
      </c>
      <c r="E51" s="116"/>
      <c r="F51" s="134">
        <v>871</v>
      </c>
      <c r="G51" s="109"/>
      <c r="H51" s="130">
        <f t="shared" si="10"/>
        <v>657000</v>
      </c>
      <c r="I51" s="130">
        <f t="shared" si="11"/>
        <v>98000</v>
      </c>
      <c r="J51" s="124"/>
    </row>
    <row r="52" spans="1:10">
      <c r="A52" s="170">
        <v>0</v>
      </c>
      <c r="B52" s="113">
        <v>0</v>
      </c>
      <c r="C52" s="95"/>
      <c r="D52" s="116" t="s">
        <v>494</v>
      </c>
      <c r="E52" s="116"/>
      <c r="F52" s="134">
        <v>872</v>
      </c>
      <c r="G52" s="109"/>
      <c r="H52" s="130">
        <f t="shared" si="10"/>
        <v>0</v>
      </c>
      <c r="I52" s="130">
        <f t="shared" si="11"/>
        <v>0</v>
      </c>
      <c r="J52" s="124"/>
    </row>
    <row r="53" spans="1:10">
      <c r="A53" s="170">
        <v>0</v>
      </c>
      <c r="B53" s="113">
        <v>0</v>
      </c>
      <c r="C53" s="95"/>
      <c r="D53" s="116" t="s">
        <v>416</v>
      </c>
      <c r="E53" s="116"/>
      <c r="F53" s="134">
        <v>873</v>
      </c>
      <c r="G53" s="109"/>
      <c r="H53" s="130">
        <f t="shared" si="10"/>
        <v>0</v>
      </c>
      <c r="I53" s="130">
        <f t="shared" si="11"/>
        <v>0</v>
      </c>
      <c r="J53" s="124"/>
    </row>
    <row r="54" spans="1:10">
      <c r="A54" s="170">
        <v>6831.3694575915279</v>
      </c>
      <c r="B54" s="113">
        <v>2111.3694575915274</v>
      </c>
      <c r="C54" s="95"/>
      <c r="D54" s="116" t="s">
        <v>59</v>
      </c>
      <c r="E54" s="116"/>
      <c r="F54" s="134">
        <v>874</v>
      </c>
      <c r="G54" s="109"/>
      <c r="H54" s="130">
        <f t="shared" si="10"/>
        <v>6831000</v>
      </c>
      <c r="I54" s="130">
        <f t="shared" si="11"/>
        <v>2111000</v>
      </c>
      <c r="J54" s="124"/>
    </row>
    <row r="55" spans="1:10">
      <c r="A55" s="170">
        <v>679.51968072674151</v>
      </c>
      <c r="B55" s="113">
        <v>271.51968072674151</v>
      </c>
      <c r="C55" s="95"/>
      <c r="D55" s="116" t="s">
        <v>60</v>
      </c>
      <c r="E55" s="116"/>
      <c r="F55" s="134">
        <v>875</v>
      </c>
      <c r="G55" s="109"/>
      <c r="H55" s="130">
        <f t="shared" si="10"/>
        <v>680000</v>
      </c>
      <c r="I55" s="130">
        <f t="shared" si="11"/>
        <v>272000</v>
      </c>
      <c r="J55" s="124"/>
    </row>
    <row r="56" spans="1:10">
      <c r="A56" s="170">
        <v>81.761721948324663</v>
      </c>
      <c r="B56" s="113">
        <v>58.761721948324663</v>
      </c>
      <c r="C56" s="95"/>
      <c r="D56" s="116" t="s">
        <v>61</v>
      </c>
      <c r="E56" s="116"/>
      <c r="F56" s="134">
        <v>876</v>
      </c>
      <c r="G56" s="109"/>
      <c r="H56" s="130">
        <f t="shared" si="10"/>
        <v>82000</v>
      </c>
      <c r="I56" s="130">
        <f t="shared" si="11"/>
        <v>59000</v>
      </c>
      <c r="J56" s="124"/>
    </row>
    <row r="57" spans="1:10">
      <c r="A57" s="170">
        <v>20.118198233360722</v>
      </c>
      <c r="B57" s="113">
        <v>9.1181982333607223</v>
      </c>
      <c r="C57" s="95"/>
      <c r="D57" s="116" t="s">
        <v>62</v>
      </c>
      <c r="E57" s="116"/>
      <c r="F57" s="134">
        <v>877</v>
      </c>
      <c r="G57" s="109"/>
      <c r="H57" s="130">
        <f t="shared" si="10"/>
        <v>20000</v>
      </c>
      <c r="I57" s="130">
        <f t="shared" si="11"/>
        <v>9000</v>
      </c>
      <c r="J57" s="124"/>
    </row>
    <row r="58" spans="1:10">
      <c r="A58" s="170">
        <v>1272.2006843102347</v>
      </c>
      <c r="B58" s="113">
        <v>941.20068431023469</v>
      </c>
      <c r="C58" s="95"/>
      <c r="D58" s="116" t="s">
        <v>63</v>
      </c>
      <c r="E58" s="121"/>
      <c r="F58" s="134">
        <v>878</v>
      </c>
      <c r="G58" s="128"/>
      <c r="H58" s="130">
        <f t="shared" si="10"/>
        <v>1272000</v>
      </c>
      <c r="I58" s="130">
        <f t="shared" si="11"/>
        <v>941000</v>
      </c>
      <c r="J58" s="124"/>
    </row>
    <row r="59" spans="1:10">
      <c r="A59" s="170">
        <v>569.79171343467544</v>
      </c>
      <c r="B59" s="113">
        <v>446.79171343467544</v>
      </c>
      <c r="C59" s="127"/>
      <c r="D59" s="116" t="s">
        <v>64</v>
      </c>
      <c r="E59" s="121"/>
      <c r="F59" s="134">
        <v>879</v>
      </c>
      <c r="G59" s="128"/>
      <c r="H59" s="130">
        <f t="shared" si="10"/>
        <v>570000</v>
      </c>
      <c r="I59" s="130">
        <f t="shared" si="11"/>
        <v>447000</v>
      </c>
      <c r="J59" s="124"/>
    </row>
    <row r="60" spans="1:10">
      <c r="A60" s="170">
        <v>1041.0281099013969</v>
      </c>
      <c r="B60" s="113">
        <v>465.02810990139687</v>
      </c>
      <c r="C60" s="127"/>
      <c r="D60" s="116" t="s">
        <v>65</v>
      </c>
      <c r="E60" s="121"/>
      <c r="F60" s="134">
        <v>880</v>
      </c>
      <c r="G60" s="128"/>
      <c r="H60" s="130">
        <f t="shared" si="10"/>
        <v>1041000</v>
      </c>
      <c r="I60" s="130">
        <f t="shared" si="11"/>
        <v>465000</v>
      </c>
      <c r="J60" s="124"/>
    </row>
    <row r="61" spans="1:10">
      <c r="A61" s="170">
        <v>99</v>
      </c>
      <c r="B61" s="113">
        <v>0</v>
      </c>
      <c r="C61" s="114"/>
      <c r="D61" s="116" t="s">
        <v>66</v>
      </c>
      <c r="E61" s="129"/>
      <c r="F61" s="134">
        <v>881</v>
      </c>
      <c r="G61" s="128"/>
      <c r="H61" s="130">
        <f t="shared" si="10"/>
        <v>99000</v>
      </c>
      <c r="I61" s="130">
        <f t="shared" si="11"/>
        <v>0</v>
      </c>
      <c r="J61" s="124"/>
    </row>
    <row r="62" spans="1:10">
      <c r="A62" s="135">
        <f>SUM(A50:A61)</f>
        <v>13328.780044348583</v>
      </c>
      <c r="B62" s="135">
        <f>SUM(B50:B61)</f>
        <v>6308.7800443485794</v>
      </c>
      <c r="C62" s="114"/>
      <c r="D62" s="134" t="s">
        <v>67</v>
      </c>
      <c r="E62" s="129"/>
      <c r="F62" s="134"/>
      <c r="G62" s="138"/>
      <c r="H62" s="135">
        <f>SUM(H50:H61)</f>
        <v>13329000</v>
      </c>
      <c r="I62" s="135">
        <f>SUM(I50:I61)</f>
        <v>6309000</v>
      </c>
      <c r="J62" s="135"/>
    </row>
    <row r="63" spans="1:10">
      <c r="A63" s="139"/>
      <c r="B63" s="113"/>
      <c r="C63" s="114"/>
      <c r="D63" s="116"/>
      <c r="E63" s="116"/>
      <c r="F63" s="109"/>
      <c r="G63" s="109"/>
      <c r="H63" s="139"/>
      <c r="I63" s="113"/>
      <c r="J63" s="139"/>
    </row>
    <row r="64" spans="1:10" ht="12.75" customHeight="1">
      <c r="A64" s="137"/>
      <c r="B64" s="113"/>
      <c r="C64" s="114" t="s">
        <v>68</v>
      </c>
      <c r="D64" s="116"/>
      <c r="E64" s="140"/>
      <c r="F64" s="134"/>
      <c r="G64" s="128"/>
      <c r="H64" s="137"/>
      <c r="I64" s="113"/>
      <c r="J64" s="137"/>
    </row>
    <row r="65" spans="1:10">
      <c r="A65" s="130">
        <v>511.85737911987582</v>
      </c>
      <c r="B65" s="113">
        <v>451.85737911987582</v>
      </c>
      <c r="C65" s="114"/>
      <c r="D65" s="140" t="s">
        <v>69</v>
      </c>
      <c r="E65" s="140"/>
      <c r="F65" s="141">
        <v>885</v>
      </c>
      <c r="G65" s="128"/>
      <c r="H65" s="130">
        <f t="shared" ref="H65:H75" si="12">ROUND(+A65*1000,-3)</f>
        <v>512000</v>
      </c>
      <c r="I65" s="130">
        <f t="shared" ref="I65:I75" si="13">ROUND(+B65*1000,-3)</f>
        <v>452000</v>
      </c>
      <c r="J65" s="124"/>
    </row>
    <row r="66" spans="1:10">
      <c r="A66" s="130">
        <v>4</v>
      </c>
      <c r="B66" s="113">
        <v>0</v>
      </c>
      <c r="C66" s="114"/>
      <c r="D66" s="140" t="s">
        <v>70</v>
      </c>
      <c r="E66" s="140"/>
      <c r="F66" s="141">
        <v>886</v>
      </c>
      <c r="G66" s="128"/>
      <c r="H66" s="130">
        <f t="shared" si="12"/>
        <v>4000</v>
      </c>
      <c r="I66" s="130">
        <f t="shared" si="13"/>
        <v>0</v>
      </c>
      <c r="J66" s="124"/>
    </row>
    <row r="67" spans="1:10">
      <c r="A67" s="130">
        <v>10330.26283408655</v>
      </c>
      <c r="B67" s="113">
        <v>2920.8628340865516</v>
      </c>
      <c r="C67" s="114"/>
      <c r="D67" s="140" t="s">
        <v>71</v>
      </c>
      <c r="E67" s="140"/>
      <c r="F67" s="141">
        <v>887</v>
      </c>
      <c r="G67" s="128"/>
      <c r="H67" s="130">
        <f t="shared" si="12"/>
        <v>10330000</v>
      </c>
      <c r="I67" s="130">
        <f t="shared" si="13"/>
        <v>2921000</v>
      </c>
      <c r="J67" s="124"/>
    </row>
    <row r="68" spans="1:10">
      <c r="A68" s="130">
        <v>0</v>
      </c>
      <c r="B68" s="113">
        <v>0</v>
      </c>
      <c r="C68" s="114"/>
      <c r="D68" s="140" t="s">
        <v>417</v>
      </c>
      <c r="E68" s="140"/>
      <c r="F68" s="141">
        <v>888</v>
      </c>
      <c r="G68" s="128"/>
      <c r="H68" s="130">
        <f t="shared" si="12"/>
        <v>0</v>
      </c>
      <c r="I68" s="130">
        <f t="shared" si="13"/>
        <v>0</v>
      </c>
      <c r="J68" s="124"/>
    </row>
    <row r="69" spans="1:10">
      <c r="A69" s="130">
        <v>404.90430487081164</v>
      </c>
      <c r="B69" s="113">
        <v>146.90430487081164</v>
      </c>
      <c r="C69" s="114"/>
      <c r="D69" s="140" t="s">
        <v>72</v>
      </c>
      <c r="E69" s="140"/>
      <c r="F69" s="141">
        <v>889</v>
      </c>
      <c r="G69" s="128"/>
      <c r="H69" s="130">
        <f t="shared" si="12"/>
        <v>405000</v>
      </c>
      <c r="I69" s="130">
        <f t="shared" si="13"/>
        <v>147000</v>
      </c>
      <c r="J69" s="124"/>
    </row>
    <row r="70" spans="1:10">
      <c r="A70" s="130">
        <v>422.78046188258924</v>
      </c>
      <c r="B70" s="113">
        <v>368.78046188258924</v>
      </c>
      <c r="C70" s="114"/>
      <c r="D70" s="140" t="s">
        <v>73</v>
      </c>
      <c r="E70" s="140"/>
      <c r="F70" s="141">
        <v>890</v>
      </c>
      <c r="G70" s="128"/>
      <c r="H70" s="130">
        <f t="shared" si="12"/>
        <v>423000</v>
      </c>
      <c r="I70" s="130">
        <f t="shared" si="13"/>
        <v>369000</v>
      </c>
      <c r="J70" s="124"/>
    </row>
    <row r="71" spans="1:10">
      <c r="A71" s="130">
        <v>430.83863918561127</v>
      </c>
      <c r="B71" s="113">
        <v>141.83863918561124</v>
      </c>
      <c r="C71" s="114"/>
      <c r="D71" s="140" t="s">
        <v>74</v>
      </c>
      <c r="E71" s="140"/>
      <c r="F71" s="141">
        <v>891</v>
      </c>
      <c r="G71" s="128"/>
      <c r="H71" s="130">
        <f t="shared" si="12"/>
        <v>431000</v>
      </c>
      <c r="I71" s="130">
        <f t="shared" si="13"/>
        <v>142000</v>
      </c>
      <c r="J71" s="124"/>
    </row>
    <row r="72" spans="1:10">
      <c r="A72" s="130">
        <v>1414.151914931982</v>
      </c>
      <c r="B72" s="113">
        <v>783.15191493198211</v>
      </c>
      <c r="C72" s="114"/>
      <c r="D72" s="140" t="s">
        <v>75</v>
      </c>
      <c r="E72" s="140"/>
      <c r="F72" s="141">
        <v>892</v>
      </c>
      <c r="G72" s="128"/>
      <c r="H72" s="130">
        <f t="shared" si="12"/>
        <v>1414000</v>
      </c>
      <c r="I72" s="130">
        <f t="shared" si="13"/>
        <v>783000</v>
      </c>
      <c r="J72" s="124"/>
    </row>
    <row r="73" spans="1:10">
      <c r="A73" s="130">
        <v>722.69978147539484</v>
      </c>
      <c r="B73" s="113">
        <v>439.69978147539484</v>
      </c>
      <c r="C73" s="114"/>
      <c r="D73" s="140" t="s">
        <v>76</v>
      </c>
      <c r="E73" s="140"/>
      <c r="F73" s="141">
        <v>893</v>
      </c>
      <c r="G73" s="128"/>
      <c r="H73" s="130">
        <f t="shared" si="12"/>
        <v>723000</v>
      </c>
      <c r="I73" s="130">
        <f t="shared" si="13"/>
        <v>440000</v>
      </c>
      <c r="J73" s="124"/>
    </row>
    <row r="74" spans="1:10">
      <c r="A74" s="130">
        <v>148.74858881128458</v>
      </c>
      <c r="B74" s="113">
        <v>57.748588811284577</v>
      </c>
      <c r="C74" s="114"/>
      <c r="D74" s="140" t="s">
        <v>77</v>
      </c>
      <c r="E74" s="140"/>
      <c r="F74" s="141">
        <v>894</v>
      </c>
      <c r="G74" s="128"/>
      <c r="H74" s="130">
        <f t="shared" si="12"/>
        <v>149000</v>
      </c>
      <c r="I74" s="130">
        <f t="shared" si="13"/>
        <v>58000</v>
      </c>
      <c r="J74" s="124"/>
    </row>
    <row r="75" spans="1:10">
      <c r="A75" s="130">
        <v>0</v>
      </c>
      <c r="B75" s="113">
        <v>0</v>
      </c>
      <c r="C75" s="114"/>
      <c r="D75" s="140" t="s">
        <v>418</v>
      </c>
      <c r="E75" s="140"/>
      <c r="F75" s="141">
        <v>895</v>
      </c>
      <c r="G75" s="128"/>
      <c r="H75" s="130">
        <f t="shared" si="12"/>
        <v>0</v>
      </c>
      <c r="I75" s="130">
        <f t="shared" si="13"/>
        <v>0</v>
      </c>
      <c r="J75" s="124"/>
    </row>
    <row r="76" spans="1:10">
      <c r="A76" s="142">
        <f>SUM(A65:A75)</f>
        <v>14390.243904364099</v>
      </c>
      <c r="B76" s="142">
        <f>SUM(B65:B75)</f>
        <v>5310.843904364101</v>
      </c>
      <c r="C76" s="126"/>
      <c r="D76" s="141" t="s">
        <v>78</v>
      </c>
      <c r="E76" s="140"/>
      <c r="F76" s="141"/>
      <c r="G76" s="128"/>
      <c r="H76" s="142">
        <f>SUM(H65:H75)</f>
        <v>14391000</v>
      </c>
      <c r="I76" s="142">
        <f>SUM(I65:I75)</f>
        <v>5312000</v>
      </c>
      <c r="J76" s="142"/>
    </row>
    <row r="77" spans="1:10">
      <c r="A77" s="140"/>
      <c r="B77" s="140"/>
      <c r="C77" s="114"/>
      <c r="D77" s="141"/>
      <c r="E77" s="140"/>
      <c r="F77" s="141"/>
      <c r="G77" s="128"/>
      <c r="H77" s="140"/>
      <c r="I77" s="140"/>
      <c r="J77" s="140"/>
    </row>
    <row r="78" spans="1:10">
      <c r="A78" s="142">
        <f>+A76+A62</f>
        <v>27719.023948712682</v>
      </c>
      <c r="B78" s="142">
        <f>+B76+B62</f>
        <v>11619.62394871268</v>
      </c>
      <c r="C78" s="114"/>
      <c r="D78" s="141" t="s">
        <v>79</v>
      </c>
      <c r="E78" s="140"/>
      <c r="F78" s="141"/>
      <c r="G78" s="128"/>
      <c r="H78" s="142">
        <f>+H76+H62</f>
        <v>27720000</v>
      </c>
      <c r="I78" s="142">
        <f>+I76+I62</f>
        <v>11621000</v>
      </c>
      <c r="J78" s="142"/>
    </row>
    <row r="79" spans="1:10">
      <c r="A79" s="109"/>
      <c r="B79" s="113"/>
      <c r="C79" s="114"/>
      <c r="D79" s="116"/>
      <c r="E79" s="116"/>
      <c r="F79" s="143"/>
      <c r="G79" s="109"/>
      <c r="H79" s="109"/>
      <c r="I79" s="113"/>
      <c r="J79" s="109"/>
    </row>
    <row r="80" spans="1:10">
      <c r="A80" s="140"/>
      <c r="B80" s="113"/>
      <c r="C80" s="114" t="s">
        <v>80</v>
      </c>
      <c r="D80" s="140"/>
      <c r="E80" s="140"/>
      <c r="F80" s="140"/>
      <c r="G80" s="128"/>
      <c r="H80" s="140"/>
      <c r="I80" s="113"/>
      <c r="J80" s="140"/>
    </row>
    <row r="81" spans="1:13" s="112" customFormat="1">
      <c r="A81" s="130">
        <v>131.94558586688578</v>
      </c>
      <c r="B81" s="113">
        <v>72.945585866885779</v>
      </c>
      <c r="C81" s="172"/>
      <c r="D81" s="140" t="s">
        <v>167</v>
      </c>
      <c r="E81" s="140"/>
      <c r="F81" s="141">
        <v>901</v>
      </c>
      <c r="G81" s="128"/>
      <c r="H81" s="130">
        <f t="shared" ref="H81:H85" si="14">ROUND(+A81*1000,-3)</f>
        <v>132000</v>
      </c>
      <c r="I81" s="130">
        <f t="shared" ref="I81:I85" si="15">ROUND(+B81*1000,-3)</f>
        <v>73000</v>
      </c>
      <c r="J81" s="124"/>
      <c r="K81" s="175"/>
      <c r="M81" s="175"/>
    </row>
    <row r="82" spans="1:13" s="112" customFormat="1">
      <c r="A82" s="130">
        <v>443.85926070482975</v>
      </c>
      <c r="B82" s="113">
        <v>374.85926070482975</v>
      </c>
      <c r="C82" s="172"/>
      <c r="D82" s="140" t="s">
        <v>81</v>
      </c>
      <c r="E82" s="140"/>
      <c r="F82" s="141">
        <v>902</v>
      </c>
      <c r="G82" s="128"/>
      <c r="H82" s="130">
        <f t="shared" si="14"/>
        <v>444000</v>
      </c>
      <c r="I82" s="130">
        <f t="shared" si="15"/>
        <v>375000</v>
      </c>
      <c r="J82" s="124"/>
      <c r="K82" s="175"/>
      <c r="M82" s="175"/>
    </row>
    <row r="83" spans="1:13" s="112" customFormat="1">
      <c r="A83" s="130">
        <v>8166.9186175477034</v>
      </c>
      <c r="B83" s="113">
        <v>2318.048617547704</v>
      </c>
      <c r="C83" s="172"/>
      <c r="D83" s="140" t="s">
        <v>82</v>
      </c>
      <c r="E83" s="140"/>
      <c r="F83" s="141">
        <v>903</v>
      </c>
      <c r="G83" s="128"/>
      <c r="H83" s="130">
        <f t="shared" si="14"/>
        <v>8167000</v>
      </c>
      <c r="I83" s="130">
        <f t="shared" si="15"/>
        <v>2318000</v>
      </c>
      <c r="J83" s="124"/>
      <c r="K83" s="175"/>
      <c r="M83" s="175"/>
    </row>
    <row r="84" spans="1:13" s="112" customFormat="1">
      <c r="A84" s="130">
        <v>2903.8269797695011</v>
      </c>
      <c r="B84" s="113">
        <v>0</v>
      </c>
      <c r="C84" s="172"/>
      <c r="D84" s="140" t="s">
        <v>680</v>
      </c>
      <c r="E84" s="140"/>
      <c r="F84" s="141">
        <v>904</v>
      </c>
      <c r="G84" s="128"/>
      <c r="H84" s="130">
        <f t="shared" si="14"/>
        <v>2904000</v>
      </c>
      <c r="I84" s="130">
        <f t="shared" si="15"/>
        <v>0</v>
      </c>
      <c r="J84" s="124"/>
      <c r="K84" s="175"/>
      <c r="L84" s="175"/>
      <c r="M84" s="175"/>
    </row>
    <row r="85" spans="1:13" s="112" customFormat="1">
      <c r="A85" s="130">
        <v>670.77782007212636</v>
      </c>
      <c r="B85" s="113">
        <v>584.57782007212631</v>
      </c>
      <c r="C85" s="172"/>
      <c r="D85" s="140" t="s">
        <v>83</v>
      </c>
      <c r="E85" s="140"/>
      <c r="F85" s="141">
        <v>905</v>
      </c>
      <c r="G85" s="128"/>
      <c r="H85" s="130">
        <f t="shared" si="14"/>
        <v>671000</v>
      </c>
      <c r="I85" s="130">
        <f t="shared" si="15"/>
        <v>585000</v>
      </c>
      <c r="J85" s="124"/>
      <c r="K85" s="175"/>
      <c r="M85" s="175"/>
    </row>
    <row r="86" spans="1:13" s="112" customFormat="1">
      <c r="A86" s="142">
        <f>SUM(A81:A85)</f>
        <v>12317.328263961046</v>
      </c>
      <c r="B86" s="142">
        <f>SUM(B81:B85)</f>
        <v>3350.4312841915462</v>
      </c>
      <c r="C86" s="172"/>
      <c r="D86" s="141" t="s">
        <v>84</v>
      </c>
      <c r="E86" s="140"/>
      <c r="F86" s="141"/>
      <c r="G86" s="128"/>
      <c r="H86" s="142">
        <f>SUM(H81:H85)</f>
        <v>12318000</v>
      </c>
      <c r="I86" s="142">
        <f>SUM(I81:I85)</f>
        <v>3351000</v>
      </c>
      <c r="J86" s="142"/>
      <c r="K86" s="175"/>
      <c r="M86" s="175"/>
    </row>
    <row r="87" spans="1:13" s="112" customFormat="1">
      <c r="A87" s="140"/>
      <c r="B87" s="113"/>
      <c r="C87" s="172"/>
      <c r="D87" s="140"/>
      <c r="E87" s="140"/>
      <c r="F87" s="141"/>
      <c r="G87" s="128"/>
      <c r="H87" s="140"/>
      <c r="I87" s="113"/>
      <c r="J87" s="140"/>
      <c r="K87" s="175"/>
      <c r="M87" s="175"/>
    </row>
    <row r="88" spans="1:13" s="112" customFormat="1">
      <c r="A88" s="140"/>
      <c r="B88" s="113"/>
      <c r="C88" s="172" t="s">
        <v>85</v>
      </c>
      <c r="D88" s="140"/>
      <c r="E88" s="140"/>
      <c r="F88" s="141"/>
      <c r="G88" s="128"/>
      <c r="H88" s="140"/>
      <c r="I88" s="113"/>
      <c r="J88" s="140"/>
      <c r="K88" s="175"/>
      <c r="M88" s="175"/>
    </row>
    <row r="89" spans="1:13" s="112" customFormat="1">
      <c r="A89" s="130">
        <v>0</v>
      </c>
      <c r="B89" s="113">
        <v>0</v>
      </c>
      <c r="C89" s="172"/>
      <c r="D89" s="140" t="s">
        <v>167</v>
      </c>
      <c r="E89" s="140"/>
      <c r="F89" s="141">
        <v>907</v>
      </c>
      <c r="G89" s="128"/>
      <c r="H89" s="130">
        <f t="shared" ref="H89:H92" si="16">ROUND(+A89*1000,-3)</f>
        <v>0</v>
      </c>
      <c r="I89" s="130">
        <f t="shared" ref="I89:I92" si="17">ROUND(+B89*1000,-3)</f>
        <v>0</v>
      </c>
      <c r="J89" s="124"/>
      <c r="K89" s="175"/>
      <c r="M89" s="175"/>
    </row>
    <row r="90" spans="1:13" s="112" customFormat="1">
      <c r="A90" s="130">
        <v>430.70166306034878</v>
      </c>
      <c r="B90" s="113">
        <v>362.70166306034878</v>
      </c>
      <c r="C90" s="172"/>
      <c r="D90" s="140" t="s">
        <v>86</v>
      </c>
      <c r="E90" s="140"/>
      <c r="F90" s="141">
        <v>908</v>
      </c>
      <c r="G90" s="128"/>
      <c r="H90" s="130">
        <f t="shared" si="16"/>
        <v>431000</v>
      </c>
      <c r="I90" s="130">
        <f t="shared" si="17"/>
        <v>363000</v>
      </c>
      <c r="J90" s="124"/>
      <c r="K90" s="175"/>
      <c r="L90" s="136"/>
      <c r="M90" s="175"/>
    </row>
    <row r="91" spans="1:13" s="276" customFormat="1">
      <c r="A91" s="130">
        <v>294</v>
      </c>
      <c r="B91" s="113">
        <v>0</v>
      </c>
      <c r="C91" s="126"/>
      <c r="D91" s="110" t="s">
        <v>378</v>
      </c>
      <c r="E91" s="110"/>
      <c r="F91" s="120">
        <v>909</v>
      </c>
      <c r="G91" s="128"/>
      <c r="H91" s="130">
        <f t="shared" si="16"/>
        <v>294000</v>
      </c>
      <c r="I91" s="130">
        <f t="shared" si="17"/>
        <v>0</v>
      </c>
      <c r="J91" s="124"/>
      <c r="K91" s="311"/>
      <c r="L91" s="307"/>
      <c r="M91" s="311"/>
    </row>
    <row r="92" spans="1:13">
      <c r="A92" s="130">
        <v>43.823263329681367</v>
      </c>
      <c r="B92" s="113">
        <v>17.223263329681366</v>
      </c>
      <c r="C92" s="114"/>
      <c r="D92" s="140" t="s">
        <v>87</v>
      </c>
      <c r="E92" s="140"/>
      <c r="F92" s="141">
        <v>910</v>
      </c>
      <c r="G92" s="128"/>
      <c r="H92" s="130">
        <f t="shared" si="16"/>
        <v>44000</v>
      </c>
      <c r="I92" s="130">
        <f t="shared" si="17"/>
        <v>17000</v>
      </c>
      <c r="J92" s="124"/>
    </row>
    <row r="93" spans="1:13">
      <c r="A93" s="142">
        <f>SUM(A89:A92)</f>
        <v>768.52492639003015</v>
      </c>
      <c r="B93" s="142">
        <f>SUM(B89:B92)</f>
        <v>379.92492639003012</v>
      </c>
      <c r="C93" s="114"/>
      <c r="D93" s="141" t="s">
        <v>88</v>
      </c>
      <c r="E93" s="140"/>
      <c r="F93" s="141"/>
      <c r="G93" s="128"/>
      <c r="H93" s="142">
        <f>SUM(H89:H92)</f>
        <v>769000</v>
      </c>
      <c r="I93" s="142">
        <f>SUM(I89:I92)</f>
        <v>380000</v>
      </c>
      <c r="J93" s="142"/>
    </row>
    <row r="94" spans="1:13">
      <c r="A94" s="140"/>
      <c r="B94" s="113"/>
      <c r="C94" s="114"/>
      <c r="D94" s="140"/>
      <c r="E94" s="140"/>
      <c r="F94" s="141"/>
      <c r="G94" s="128"/>
      <c r="H94" s="140"/>
      <c r="I94" s="113"/>
      <c r="J94" s="140"/>
    </row>
    <row r="95" spans="1:13" s="112" customFormat="1">
      <c r="A95" s="140"/>
      <c r="B95" s="113"/>
      <c r="C95" s="172" t="s">
        <v>236</v>
      </c>
      <c r="D95" s="140"/>
      <c r="E95" s="140"/>
      <c r="F95" s="141"/>
      <c r="G95" s="128"/>
      <c r="H95" s="140"/>
      <c r="I95" s="113"/>
      <c r="J95" s="140"/>
      <c r="K95" s="175"/>
      <c r="M95" s="175"/>
    </row>
    <row r="96" spans="1:13" s="112" customFormat="1">
      <c r="A96" s="130">
        <v>0</v>
      </c>
      <c r="B96" s="113">
        <v>0</v>
      </c>
      <c r="C96" s="172"/>
      <c r="D96" s="140" t="s">
        <v>167</v>
      </c>
      <c r="E96" s="140"/>
      <c r="F96" s="141">
        <v>911</v>
      </c>
      <c r="G96" s="128"/>
      <c r="H96" s="130">
        <f t="shared" ref="H96:H99" si="18">ROUND(+A96*1000,-3)</f>
        <v>0</v>
      </c>
      <c r="I96" s="130">
        <f t="shared" ref="I96:I99" si="19">ROUND(+B96*1000,-3)</f>
        <v>0</v>
      </c>
      <c r="J96" s="124"/>
      <c r="K96" s="175"/>
      <c r="M96" s="175"/>
    </row>
    <row r="97" spans="1:13" s="112" customFormat="1">
      <c r="A97" s="130">
        <v>1981.1402309412947</v>
      </c>
      <c r="B97" s="113">
        <v>184.39023094129462</v>
      </c>
      <c r="C97" s="172"/>
      <c r="D97" s="140" t="s">
        <v>89</v>
      </c>
      <c r="E97" s="140"/>
      <c r="F97" s="141">
        <v>912</v>
      </c>
      <c r="G97" s="128"/>
      <c r="H97" s="130">
        <f t="shared" si="18"/>
        <v>1981000</v>
      </c>
      <c r="I97" s="130">
        <f t="shared" si="19"/>
        <v>184000</v>
      </c>
      <c r="J97" s="124"/>
      <c r="K97" s="175"/>
      <c r="M97" s="175"/>
    </row>
    <row r="98" spans="1:13" s="112" customFormat="1">
      <c r="A98" s="130">
        <v>232</v>
      </c>
      <c r="B98" s="113">
        <v>0</v>
      </c>
      <c r="C98" s="172"/>
      <c r="D98" s="140" t="s">
        <v>90</v>
      </c>
      <c r="E98" s="140"/>
      <c r="F98" s="141">
        <v>913</v>
      </c>
      <c r="G98" s="128"/>
      <c r="H98" s="130">
        <f t="shared" si="18"/>
        <v>232000</v>
      </c>
      <c r="I98" s="130">
        <f t="shared" si="19"/>
        <v>0</v>
      </c>
      <c r="J98" s="124"/>
      <c r="K98" s="175"/>
      <c r="M98" s="175"/>
    </row>
    <row r="99" spans="1:13" s="112" customFormat="1">
      <c r="A99" s="130">
        <v>60.8</v>
      </c>
      <c r="B99" s="113">
        <v>0</v>
      </c>
      <c r="C99" s="172"/>
      <c r="D99" s="140" t="s">
        <v>91</v>
      </c>
      <c r="E99" s="140"/>
      <c r="F99" s="141">
        <v>916</v>
      </c>
      <c r="G99" s="128"/>
      <c r="H99" s="130">
        <f t="shared" si="18"/>
        <v>61000</v>
      </c>
      <c r="I99" s="130">
        <f t="shared" si="19"/>
        <v>0</v>
      </c>
      <c r="J99" s="124"/>
      <c r="K99" s="175"/>
      <c r="M99" s="175"/>
    </row>
    <row r="100" spans="1:13" s="112" customFormat="1">
      <c r="A100" s="142">
        <f>SUM(A96:A99)</f>
        <v>2273.9402309412949</v>
      </c>
      <c r="B100" s="142">
        <f>SUM(B96:B99)</f>
        <v>184.39023094129462</v>
      </c>
      <c r="C100" s="172"/>
      <c r="D100" s="141" t="s">
        <v>92</v>
      </c>
      <c r="E100" s="140"/>
      <c r="F100" s="141"/>
      <c r="G100" s="128"/>
      <c r="H100" s="142">
        <f>SUM(H96:H99)</f>
        <v>2274000</v>
      </c>
      <c r="I100" s="142">
        <f>SUM(I96:I99)</f>
        <v>184000</v>
      </c>
      <c r="J100" s="142"/>
      <c r="K100" s="175"/>
      <c r="M100" s="175"/>
    </row>
    <row r="101" spans="1:13" s="112" customFormat="1">
      <c r="A101" s="140"/>
      <c r="B101" s="113"/>
      <c r="C101" s="172"/>
      <c r="D101" s="140"/>
      <c r="E101" s="140"/>
      <c r="F101" s="141"/>
      <c r="G101" s="128"/>
      <c r="H101" s="140"/>
      <c r="I101" s="113"/>
      <c r="J101" s="140"/>
      <c r="K101" s="175"/>
      <c r="M101" s="175"/>
    </row>
    <row r="102" spans="1:13" s="112" customFormat="1">
      <c r="A102" s="140"/>
      <c r="B102" s="113"/>
      <c r="C102" s="172" t="s">
        <v>93</v>
      </c>
      <c r="D102" s="140"/>
      <c r="E102" s="140"/>
      <c r="F102" s="141"/>
      <c r="G102" s="128"/>
      <c r="H102" s="140"/>
      <c r="I102" s="113"/>
      <c r="J102" s="140"/>
      <c r="K102" s="175"/>
      <c r="M102" s="175"/>
    </row>
    <row r="103" spans="1:13" s="112" customFormat="1">
      <c r="A103" s="140"/>
      <c r="B103" s="113"/>
      <c r="C103" s="172" t="s">
        <v>207</v>
      </c>
      <c r="D103" s="140"/>
      <c r="E103" s="140"/>
      <c r="F103" s="141"/>
      <c r="G103" s="128"/>
      <c r="H103" s="140"/>
      <c r="I103" s="113"/>
      <c r="J103" s="140"/>
      <c r="K103" s="175"/>
      <c r="M103" s="175"/>
    </row>
    <row r="104" spans="1:13" s="112" customFormat="1">
      <c r="A104" s="170">
        <v>7246.0821824157765</v>
      </c>
      <c r="B104" s="113">
        <v>5252.0821824157765</v>
      </c>
      <c r="C104" s="172"/>
      <c r="D104" s="140" t="s">
        <v>94</v>
      </c>
      <c r="E104" s="140"/>
      <c r="F104" s="141">
        <v>920</v>
      </c>
      <c r="G104" s="128"/>
      <c r="H104" s="130">
        <f t="shared" ref="H104:H113" si="20">ROUND(+A104*1000,-3)</f>
        <v>7246000</v>
      </c>
      <c r="I104" s="130">
        <f t="shared" ref="I104:I113" si="21">ROUND(+B104*1000,-3)</f>
        <v>5252000</v>
      </c>
      <c r="J104" s="124"/>
      <c r="K104" s="175"/>
      <c r="M104" s="175"/>
    </row>
    <row r="105" spans="1:13" s="112" customFormat="1">
      <c r="A105" s="170">
        <v>5144.5253254816034</v>
      </c>
      <c r="B105" s="113">
        <v>40.525325481603211</v>
      </c>
      <c r="C105" s="172"/>
      <c r="D105" s="140" t="s">
        <v>95</v>
      </c>
      <c r="E105" s="140"/>
      <c r="F105" s="141">
        <v>921</v>
      </c>
      <c r="G105" s="128"/>
      <c r="H105" s="130">
        <f t="shared" si="20"/>
        <v>5145000</v>
      </c>
      <c r="I105" s="130">
        <f t="shared" si="21"/>
        <v>41000</v>
      </c>
      <c r="J105" s="124"/>
      <c r="K105" s="175"/>
      <c r="M105" s="175"/>
    </row>
    <row r="106" spans="1:13" s="112" customFormat="1">
      <c r="A106" s="170">
        <v>5384</v>
      </c>
      <c r="B106" s="113">
        <v>0</v>
      </c>
      <c r="C106" s="172"/>
      <c r="D106" s="140" t="s">
        <v>96</v>
      </c>
      <c r="E106" s="140"/>
      <c r="F106" s="141">
        <v>923</v>
      </c>
      <c r="G106" s="128"/>
      <c r="H106" s="130">
        <f t="shared" si="20"/>
        <v>5384000</v>
      </c>
      <c r="I106" s="130">
        <f t="shared" si="21"/>
        <v>0</v>
      </c>
      <c r="J106" s="124"/>
      <c r="K106" s="175"/>
      <c r="M106" s="175"/>
    </row>
    <row r="107" spans="1:13" s="112" customFormat="1">
      <c r="A107" s="170">
        <v>35</v>
      </c>
      <c r="B107" s="113">
        <v>0</v>
      </c>
      <c r="C107" s="172"/>
      <c r="D107" s="140" t="s">
        <v>97</v>
      </c>
      <c r="E107" s="140"/>
      <c r="F107" s="141">
        <v>924</v>
      </c>
      <c r="G107" s="128"/>
      <c r="H107" s="130">
        <f t="shared" si="20"/>
        <v>35000</v>
      </c>
      <c r="I107" s="130">
        <f t="shared" si="21"/>
        <v>0</v>
      </c>
      <c r="J107" s="124"/>
      <c r="K107" s="175"/>
      <c r="M107" s="175"/>
    </row>
    <row r="108" spans="1:13" s="112" customFormat="1">
      <c r="A108" s="170">
        <v>3410.1281393453846</v>
      </c>
      <c r="B108" s="113">
        <v>313.0581393453848</v>
      </c>
      <c r="C108" s="126"/>
      <c r="D108" s="140" t="s">
        <v>98</v>
      </c>
      <c r="E108" s="140"/>
      <c r="F108" s="141">
        <v>925</v>
      </c>
      <c r="G108" s="128"/>
      <c r="H108" s="130">
        <f t="shared" si="20"/>
        <v>3410000</v>
      </c>
      <c r="I108" s="130">
        <f t="shared" si="21"/>
        <v>313000</v>
      </c>
      <c r="J108" s="124"/>
      <c r="K108" s="175"/>
      <c r="M108" s="175"/>
    </row>
    <row r="109" spans="1:13" s="112" customFormat="1">
      <c r="A109" s="170">
        <v>4699.5351278873368</v>
      </c>
      <c r="B109" s="113">
        <v>716.28512788733678</v>
      </c>
      <c r="C109" s="172"/>
      <c r="D109" s="140" t="s">
        <v>99</v>
      </c>
      <c r="E109" s="140"/>
      <c r="F109" s="141">
        <v>926</v>
      </c>
      <c r="G109" s="128"/>
      <c r="H109" s="130">
        <f t="shared" si="20"/>
        <v>4700000</v>
      </c>
      <c r="I109" s="130">
        <f t="shared" si="21"/>
        <v>716000</v>
      </c>
      <c r="J109" s="124"/>
      <c r="K109" s="175"/>
      <c r="M109" s="175"/>
    </row>
    <row r="110" spans="1:13" s="112" customFormat="1">
      <c r="A110" s="170">
        <v>274</v>
      </c>
      <c r="B110" s="113">
        <v>0</v>
      </c>
      <c r="C110" s="172"/>
      <c r="D110" s="140" t="s">
        <v>100</v>
      </c>
      <c r="E110" s="140"/>
      <c r="F110" s="141">
        <v>928</v>
      </c>
      <c r="G110" s="128"/>
      <c r="H110" s="130">
        <f t="shared" si="20"/>
        <v>274000</v>
      </c>
      <c r="I110" s="130">
        <f t="shared" si="21"/>
        <v>0</v>
      </c>
      <c r="J110" s="124"/>
      <c r="K110" s="175"/>
      <c r="M110" s="175"/>
    </row>
    <row r="111" spans="1:13" s="112" customFormat="1">
      <c r="A111" s="170">
        <v>137</v>
      </c>
      <c r="B111" s="113">
        <v>0</v>
      </c>
      <c r="C111" s="172"/>
      <c r="D111" s="140" t="s">
        <v>101</v>
      </c>
      <c r="E111" s="140"/>
      <c r="F111" s="141">
        <v>930.1</v>
      </c>
      <c r="G111" s="128"/>
      <c r="H111" s="130">
        <f t="shared" si="20"/>
        <v>137000</v>
      </c>
      <c r="I111" s="130">
        <f t="shared" si="21"/>
        <v>0</v>
      </c>
      <c r="J111" s="124"/>
      <c r="K111" s="175"/>
      <c r="M111" s="175"/>
    </row>
    <row r="112" spans="1:13" s="112" customFormat="1">
      <c r="A112" s="170">
        <v>596.02599999999995</v>
      </c>
      <c r="B112" s="113">
        <v>0</v>
      </c>
      <c r="C112" s="172"/>
      <c r="D112" s="140" t="s">
        <v>102</v>
      </c>
      <c r="E112" s="140"/>
      <c r="F112" s="141">
        <v>930.2</v>
      </c>
      <c r="G112" s="128"/>
      <c r="H112" s="130">
        <f t="shared" si="20"/>
        <v>596000</v>
      </c>
      <c r="I112" s="130">
        <f t="shared" si="21"/>
        <v>0</v>
      </c>
      <c r="J112" s="124"/>
      <c r="K112" s="175"/>
      <c r="M112" s="175"/>
    </row>
    <row r="113" spans="1:13" s="112" customFormat="1">
      <c r="A113" s="170">
        <v>551.79866666666669</v>
      </c>
      <c r="B113" s="113">
        <v>0</v>
      </c>
      <c r="C113" s="172"/>
      <c r="D113" s="302" t="s">
        <v>66</v>
      </c>
      <c r="E113" s="302"/>
      <c r="F113" s="301">
        <v>931</v>
      </c>
      <c r="G113" s="303"/>
      <c r="H113" s="130">
        <f t="shared" si="20"/>
        <v>552000</v>
      </c>
      <c r="I113" s="130">
        <f t="shared" si="21"/>
        <v>0</v>
      </c>
      <c r="J113" s="124"/>
      <c r="K113" s="175"/>
      <c r="M113" s="175"/>
    </row>
    <row r="114" spans="1:13" s="112" customFormat="1">
      <c r="A114" s="142">
        <f>SUM(A104:A113)</f>
        <v>27478.095441796766</v>
      </c>
      <c r="B114" s="142">
        <f>SUM(B104:B113)</f>
        <v>6321.9507751301016</v>
      </c>
      <c r="C114" s="172"/>
      <c r="D114" s="141" t="s">
        <v>103</v>
      </c>
      <c r="E114" s="140"/>
      <c r="F114" s="141"/>
      <c r="G114" s="128"/>
      <c r="H114" s="142">
        <f>SUM(H104:H113)</f>
        <v>27479000</v>
      </c>
      <c r="I114" s="142">
        <f>SUM(I104:I113)</f>
        <v>6322000</v>
      </c>
      <c r="J114" s="142"/>
      <c r="K114" s="175"/>
      <c r="M114" s="175"/>
    </row>
    <row r="115" spans="1:13" s="112" customFormat="1">
      <c r="A115" s="130"/>
      <c r="B115" s="113"/>
      <c r="C115" s="172"/>
      <c r="D115" s="140"/>
      <c r="E115" s="140"/>
      <c r="F115" s="144"/>
      <c r="G115" s="128"/>
      <c r="H115" s="130"/>
      <c r="I115" s="113"/>
      <c r="J115" s="130"/>
      <c r="K115" s="175"/>
      <c r="M115" s="175"/>
    </row>
    <row r="116" spans="1:13" s="112" customFormat="1">
      <c r="A116" s="110"/>
      <c r="B116" s="113"/>
      <c r="C116" s="172" t="s">
        <v>210</v>
      </c>
      <c r="D116" s="110"/>
      <c r="E116" s="110"/>
      <c r="F116" s="128"/>
      <c r="G116" s="128"/>
      <c r="H116" s="110"/>
      <c r="I116" s="113"/>
      <c r="J116" s="110"/>
      <c r="K116" s="175"/>
      <c r="M116" s="175"/>
    </row>
    <row r="117" spans="1:13" s="112" customFormat="1">
      <c r="A117" s="170">
        <v>889</v>
      </c>
      <c r="B117" s="113">
        <v>221</v>
      </c>
      <c r="C117" s="172"/>
      <c r="D117" s="172" t="s">
        <v>104</v>
      </c>
      <c r="E117" s="110"/>
      <c r="F117" s="141">
        <v>932</v>
      </c>
      <c r="G117" s="128"/>
      <c r="H117" s="130">
        <f t="shared" ref="H117:H118" si="22">ROUND(+A117*1000,-3)</f>
        <v>889000</v>
      </c>
      <c r="I117" s="130">
        <f t="shared" ref="I117:I118" si="23">ROUND(+B117*1000,-3)</f>
        <v>221000</v>
      </c>
      <c r="J117" s="124"/>
      <c r="K117" s="175"/>
      <c r="M117" s="175"/>
    </row>
    <row r="118" spans="1:13" s="112" customFormat="1">
      <c r="A118" s="170">
        <v>5</v>
      </c>
      <c r="B118" s="113">
        <v>0</v>
      </c>
      <c r="C118" s="172"/>
      <c r="D118" s="172" t="s">
        <v>104</v>
      </c>
      <c r="E118" s="110"/>
      <c r="F118" s="141">
        <v>935</v>
      </c>
      <c r="G118" s="128"/>
      <c r="H118" s="130">
        <f t="shared" si="22"/>
        <v>5000</v>
      </c>
      <c r="I118" s="130">
        <f t="shared" si="23"/>
        <v>0</v>
      </c>
      <c r="J118" s="124"/>
      <c r="K118" s="175"/>
      <c r="M118" s="175"/>
    </row>
    <row r="119" spans="1:13" s="112" customFormat="1">
      <c r="A119" s="142">
        <f>SUM(A114:A118)</f>
        <v>28372.095441796766</v>
      </c>
      <c r="B119" s="142">
        <f>SUM(B114:B118)</f>
        <v>6542.9507751301016</v>
      </c>
      <c r="C119" s="172"/>
      <c r="D119" s="171" t="s">
        <v>105</v>
      </c>
      <c r="E119" s="110"/>
      <c r="F119" s="141"/>
      <c r="G119" s="128"/>
      <c r="H119" s="142">
        <f>SUM(H114:H118)</f>
        <v>28373000</v>
      </c>
      <c r="I119" s="142">
        <f>SUM(I114:I118)</f>
        <v>6543000</v>
      </c>
      <c r="J119" s="142"/>
      <c r="K119" s="175"/>
      <c r="M119" s="175"/>
    </row>
    <row r="120" spans="1:13" s="112" customFormat="1">
      <c r="A120" s="130"/>
      <c r="B120" s="130"/>
      <c r="C120" s="172"/>
      <c r="D120" s="140"/>
      <c r="E120" s="140"/>
      <c r="F120" s="128"/>
      <c r="G120" s="128"/>
      <c r="H120" s="130"/>
      <c r="I120" s="130"/>
      <c r="J120" s="130"/>
      <c r="K120" s="175"/>
      <c r="M120" s="175"/>
    </row>
    <row r="121" spans="1:13" s="112" customFormat="1">
      <c r="A121" s="142">
        <f>+A119+A100+A93+A86+A78+A33+A12+A19+A43+A47</f>
        <v>136489.40236413848</v>
      </c>
      <c r="B121" s="142">
        <f>+B119+B100+B93+B86+B78+B33+B12+B19+B43+B47</f>
        <v>22194.844609262302</v>
      </c>
      <c r="C121" s="172"/>
      <c r="D121" s="171" t="s">
        <v>106</v>
      </c>
      <c r="E121" s="140"/>
      <c r="F121" s="145"/>
      <c r="G121" s="146"/>
      <c r="H121" s="142">
        <f>+H119+H100+H93+H86+H78+H33+H12+H19+H38+H47+H43+H33+H12</f>
        <v>201494000</v>
      </c>
      <c r="I121" s="142">
        <f>+I119+I100+I93+I86+I78+I33+I12+I19+I38+I47+I43+I33+I12</f>
        <v>22196000</v>
      </c>
      <c r="J121" s="142"/>
      <c r="K121" s="175"/>
      <c r="M121" s="175"/>
    </row>
    <row r="122" spans="1:13" s="112" customFormat="1">
      <c r="A122" s="109"/>
      <c r="B122" s="147"/>
      <c r="C122" s="172"/>
      <c r="D122" s="109"/>
      <c r="E122" s="109"/>
      <c r="F122" s="143"/>
      <c r="G122" s="109"/>
      <c r="H122" s="109"/>
      <c r="I122" s="147"/>
      <c r="J122" s="109"/>
      <c r="K122" s="175"/>
      <c r="L122" s="332">
        <f>+K122-K121</f>
        <v>0</v>
      </c>
      <c r="M122" s="175"/>
    </row>
    <row r="123" spans="1:13" s="112" customFormat="1">
      <c r="A123" s="109"/>
      <c r="B123" s="147"/>
      <c r="C123" s="172"/>
      <c r="D123" s="109"/>
      <c r="E123" s="109"/>
      <c r="F123" s="143"/>
      <c r="G123" s="109"/>
      <c r="H123" s="109"/>
      <c r="I123" s="147"/>
      <c r="J123" s="109"/>
      <c r="K123" s="175"/>
      <c r="L123" s="332"/>
      <c r="M123" s="175"/>
    </row>
    <row r="124" spans="1:13" s="112" customFormat="1" ht="15.75">
      <c r="A124" s="109"/>
      <c r="B124" s="147"/>
      <c r="C124" s="537" t="s">
        <v>529</v>
      </c>
      <c r="D124" s="109"/>
      <c r="E124" s="109"/>
      <c r="F124" s="143"/>
      <c r="G124" s="109"/>
      <c r="H124" s="109"/>
      <c r="I124" s="147"/>
      <c r="J124" s="109"/>
      <c r="K124" s="175"/>
      <c r="L124" s="332"/>
      <c r="M124" s="175"/>
    </row>
    <row r="125" spans="1:13" s="112" customFormat="1">
      <c r="A125" s="538">
        <v>132</v>
      </c>
      <c r="B125" s="147"/>
      <c r="D125" s="172" t="s">
        <v>530</v>
      </c>
      <c r="E125" s="109"/>
      <c r="F125" s="143"/>
      <c r="G125" s="109"/>
      <c r="H125" s="130">
        <f t="shared" ref="H125:H131" si="24">ROUND(+A125*1000,-3)</f>
        <v>132000</v>
      </c>
      <c r="I125" s="130"/>
      <c r="J125" s="109"/>
      <c r="K125" s="175"/>
      <c r="L125" s="332"/>
      <c r="M125" s="175"/>
    </row>
    <row r="126" spans="1:13" s="112" customFormat="1">
      <c r="A126" s="538">
        <v>0</v>
      </c>
      <c r="B126" s="147"/>
      <c r="D126" s="172" t="s">
        <v>531</v>
      </c>
      <c r="E126" s="109"/>
      <c r="F126" s="143"/>
      <c r="G126" s="109"/>
      <c r="H126" s="130">
        <f t="shared" si="24"/>
        <v>0</v>
      </c>
      <c r="I126" s="130"/>
      <c r="J126" s="109"/>
      <c r="K126" s="175"/>
      <c r="L126" s="332"/>
      <c r="M126" s="175"/>
    </row>
    <row r="127" spans="1:13" s="112" customFormat="1">
      <c r="A127" s="538">
        <v>122</v>
      </c>
      <c r="B127" s="147"/>
      <c r="D127" s="172" t="s">
        <v>532</v>
      </c>
      <c r="E127" s="109"/>
      <c r="F127" s="143"/>
      <c r="G127" s="109"/>
      <c r="H127" s="130">
        <f t="shared" si="24"/>
        <v>122000</v>
      </c>
      <c r="I127" s="130"/>
      <c r="J127" s="109"/>
      <c r="K127" s="175"/>
      <c r="L127" s="332"/>
      <c r="M127" s="175"/>
    </row>
    <row r="128" spans="1:13" s="112" customFormat="1">
      <c r="A128" s="538">
        <v>1472</v>
      </c>
      <c r="B128" s="147"/>
      <c r="D128" s="172" t="s">
        <v>533</v>
      </c>
      <c r="E128" s="109"/>
      <c r="F128" s="143"/>
      <c r="G128" s="109"/>
      <c r="H128" s="130">
        <f t="shared" si="24"/>
        <v>1472000</v>
      </c>
      <c r="I128" s="130"/>
      <c r="J128" s="109"/>
      <c r="K128" s="175"/>
      <c r="L128" s="332"/>
      <c r="M128" s="175"/>
    </row>
    <row r="129" spans="1:13" s="112" customFormat="1">
      <c r="A129" s="538">
        <v>12</v>
      </c>
      <c r="B129" s="147"/>
      <c r="D129" s="172" t="s">
        <v>534</v>
      </c>
      <c r="E129" s="109"/>
      <c r="F129" s="143"/>
      <c r="G129" s="109"/>
      <c r="H129" s="130">
        <f t="shared" si="24"/>
        <v>12000</v>
      </c>
      <c r="I129" s="130"/>
      <c r="J129" s="109"/>
      <c r="K129" s="175"/>
      <c r="L129" s="332"/>
      <c r="M129" s="175"/>
    </row>
    <row r="130" spans="1:13" s="112" customFormat="1">
      <c r="A130" s="538">
        <v>129</v>
      </c>
      <c r="B130" s="147"/>
      <c r="D130" s="172" t="s">
        <v>535</v>
      </c>
      <c r="E130" s="109"/>
      <c r="F130" s="143"/>
      <c r="G130" s="109"/>
      <c r="H130" s="130">
        <f t="shared" si="24"/>
        <v>129000</v>
      </c>
      <c r="I130" s="130"/>
      <c r="J130" s="109"/>
      <c r="K130" s="175"/>
      <c r="L130" s="332"/>
      <c r="M130" s="175"/>
    </row>
    <row r="131" spans="1:13" s="112" customFormat="1">
      <c r="A131" s="541">
        <v>935</v>
      </c>
      <c r="B131" s="147"/>
      <c r="D131" s="518" t="s">
        <v>536</v>
      </c>
      <c r="E131" s="109"/>
      <c r="F131" s="143"/>
      <c r="G131" s="109"/>
      <c r="H131" s="542">
        <f t="shared" si="24"/>
        <v>935000</v>
      </c>
      <c r="I131" s="130"/>
      <c r="J131" s="109"/>
      <c r="K131" s="175"/>
      <c r="L131" s="332"/>
      <c r="M131" s="175"/>
    </row>
    <row r="132" spans="1:13" s="112" customFormat="1" ht="7.9" customHeight="1">
      <c r="A132" s="109"/>
      <c r="B132" s="147"/>
      <c r="C132" s="172"/>
      <c r="D132" s="109"/>
      <c r="E132" s="109"/>
      <c r="F132" s="143"/>
      <c r="G132" s="109"/>
      <c r="H132" s="109"/>
      <c r="I132" s="147"/>
      <c r="J132" s="109"/>
      <c r="K132" s="175"/>
      <c r="L132" s="332"/>
      <c r="M132" s="175"/>
    </row>
    <row r="133" spans="1:13" s="112" customFormat="1">
      <c r="A133" s="332">
        <f>SUM(A125:A132)</f>
        <v>2802</v>
      </c>
      <c r="B133" s="147"/>
      <c r="D133" s="172" t="s">
        <v>539</v>
      </c>
      <c r="E133" s="109"/>
      <c r="F133" s="143"/>
      <c r="G133" s="109"/>
      <c r="H133" s="332">
        <f>SUM(H125:H132)</f>
        <v>2802000</v>
      </c>
      <c r="I133" s="147"/>
      <c r="J133" s="109"/>
      <c r="K133" s="175"/>
      <c r="L133" s="332"/>
      <c r="M133" s="175"/>
    </row>
    <row r="134" spans="1:13" s="112" customFormat="1">
      <c r="A134" s="171"/>
      <c r="C134" s="172"/>
      <c r="D134" s="109"/>
      <c r="E134" s="109"/>
      <c r="F134" s="143"/>
      <c r="G134" s="109"/>
      <c r="H134" s="109"/>
      <c r="I134" s="147"/>
      <c r="J134" s="109"/>
      <c r="K134" s="175"/>
      <c r="L134" s="332"/>
      <c r="M134" s="175"/>
    </row>
    <row r="135" spans="1:13" s="112" customFormat="1" ht="15.75">
      <c r="A135" s="171"/>
      <c r="D135" s="109"/>
      <c r="E135" s="109"/>
      <c r="F135" s="143"/>
      <c r="G135" s="109"/>
      <c r="H135" s="824" t="s">
        <v>537</v>
      </c>
      <c r="I135" s="824"/>
      <c r="J135" s="109"/>
      <c r="K135" s="175"/>
      <c r="L135" s="332"/>
      <c r="M135" s="175"/>
    </row>
    <row r="136" spans="1:13" s="112" customFormat="1" ht="15.75">
      <c r="A136" s="546" t="s">
        <v>541</v>
      </c>
      <c r="B136" s="547" t="s">
        <v>542</v>
      </c>
      <c r="C136" s="528" t="s">
        <v>675</v>
      </c>
      <c r="D136" s="151"/>
      <c r="E136" s="150"/>
      <c r="F136" s="341"/>
      <c r="G136" s="341"/>
      <c r="H136" s="535" t="s">
        <v>527</v>
      </c>
      <c r="I136" s="536" t="s">
        <v>528</v>
      </c>
      <c r="J136" s="342"/>
      <c r="K136" s="241"/>
      <c r="L136" s="342"/>
      <c r="M136" s="175"/>
    </row>
    <row r="137" spans="1:13" s="112" customFormat="1">
      <c r="B137" s="136">
        <v>0</v>
      </c>
      <c r="C137" s="543">
        <v>305</v>
      </c>
      <c r="D137" s="518" t="s">
        <v>543</v>
      </c>
      <c r="E137" s="150"/>
      <c r="F137" s="341"/>
      <c r="G137" s="341"/>
      <c r="H137" s="136">
        <f>+A137+B137</f>
        <v>0</v>
      </c>
      <c r="I137" s="241"/>
      <c r="J137" s="150"/>
      <c r="K137" s="241"/>
      <c r="L137" s="342"/>
      <c r="M137" s="175"/>
    </row>
    <row r="138" spans="1:13" s="112" customFormat="1">
      <c r="A138" s="529">
        <v>55165</v>
      </c>
      <c r="B138" s="136">
        <v>0</v>
      </c>
      <c r="C138" s="632">
        <v>375</v>
      </c>
      <c r="D138" s="95" t="s">
        <v>495</v>
      </c>
      <c r="E138" s="148"/>
      <c r="F138" s="343"/>
      <c r="G138" s="148"/>
      <c r="H138" s="136">
        <f t="shared" ref="H138:H140" si="25">+A138+B138</f>
        <v>55165</v>
      </c>
      <c r="I138" s="529">
        <v>1678902</v>
      </c>
      <c r="J138" s="148"/>
      <c r="K138" s="241"/>
      <c r="L138" s="342"/>
      <c r="M138" s="175"/>
    </row>
    <row r="139" spans="1:13" s="112" customFormat="1">
      <c r="A139" s="529">
        <v>3601185</v>
      </c>
      <c r="B139" s="136">
        <v>35582</v>
      </c>
      <c r="C139" s="708">
        <v>376.1</v>
      </c>
      <c r="D139" s="95" t="s">
        <v>496</v>
      </c>
      <c r="E139" s="150"/>
      <c r="F139" s="344"/>
      <c r="G139" s="341"/>
      <c r="H139" s="136">
        <f t="shared" si="25"/>
        <v>3636767</v>
      </c>
      <c r="I139" s="529">
        <v>163832465</v>
      </c>
      <c r="J139" s="149"/>
      <c r="K139" s="241">
        <f>+H139+H140</f>
        <v>8928509</v>
      </c>
      <c r="L139" s="342"/>
      <c r="M139" s="175"/>
    </row>
    <row r="140" spans="1:13" s="112" customFormat="1">
      <c r="A140" s="529">
        <v>4285436</v>
      </c>
      <c r="B140" s="136">
        <v>1006306</v>
      </c>
      <c r="C140" s="708">
        <v>376.2</v>
      </c>
      <c r="D140" s="95" t="s">
        <v>638</v>
      </c>
      <c r="E140" s="150"/>
      <c r="F140" s="344"/>
      <c r="G140" s="341"/>
      <c r="H140" s="136">
        <f t="shared" si="25"/>
        <v>5291742</v>
      </c>
      <c r="I140" s="529">
        <v>204263162</v>
      </c>
      <c r="J140" s="149"/>
      <c r="K140" s="241">
        <f>+I140+I139</f>
        <v>368095627</v>
      </c>
      <c r="L140" s="342"/>
      <c r="M140" s="175"/>
    </row>
    <row r="141" spans="1:13" s="112" customFormat="1">
      <c r="A141" s="529">
        <v>606629</v>
      </c>
      <c r="B141" s="136">
        <v>138290</v>
      </c>
      <c r="C141" s="632">
        <v>378</v>
      </c>
      <c r="D141" s="95" t="s">
        <v>639</v>
      </c>
      <c r="E141" s="150"/>
      <c r="F141" s="344"/>
      <c r="G141" s="341"/>
      <c r="H141" s="136">
        <f t="shared" ref="H141:H150" si="26">+A141+B141</f>
        <v>744919</v>
      </c>
      <c r="I141" s="529">
        <v>14220894</v>
      </c>
      <c r="J141" s="149"/>
      <c r="K141" s="241"/>
      <c r="L141" s="342"/>
      <c r="M141" s="175"/>
    </row>
    <row r="142" spans="1:13" s="112" customFormat="1">
      <c r="A142" s="529">
        <v>560579</v>
      </c>
      <c r="B142" s="136">
        <v>12847</v>
      </c>
      <c r="C142" s="632">
        <v>379</v>
      </c>
      <c r="D142" s="95" t="s">
        <v>640</v>
      </c>
      <c r="E142" s="150"/>
      <c r="F142" s="344"/>
      <c r="G142" s="341"/>
      <c r="H142" s="136">
        <f t="shared" si="26"/>
        <v>573426</v>
      </c>
      <c r="I142" s="529">
        <v>14208221</v>
      </c>
      <c r="J142" s="153"/>
      <c r="K142" s="241"/>
      <c r="L142" s="342"/>
      <c r="M142" s="175"/>
    </row>
    <row r="143" spans="1:13" s="112" customFormat="1">
      <c r="A143" s="529">
        <v>5105092</v>
      </c>
      <c r="B143" s="136">
        <v>935662</v>
      </c>
      <c r="C143" s="708">
        <v>380.1</v>
      </c>
      <c r="D143" s="95" t="s">
        <v>641</v>
      </c>
      <c r="E143" s="150"/>
      <c r="F143" s="344"/>
      <c r="G143" s="341"/>
      <c r="H143" s="136">
        <f t="shared" si="26"/>
        <v>6040754</v>
      </c>
      <c r="I143" s="529">
        <v>157281851</v>
      </c>
      <c r="J143" s="153"/>
      <c r="K143" s="241"/>
      <c r="L143" s="342"/>
      <c r="M143" s="175"/>
    </row>
    <row r="144" spans="1:13" s="112" customFormat="1">
      <c r="A144" s="529">
        <v>473123</v>
      </c>
      <c r="B144" s="136">
        <v>682307</v>
      </c>
      <c r="C144" s="708">
        <v>380.2</v>
      </c>
      <c r="D144" s="95" t="s">
        <v>642</v>
      </c>
      <c r="E144" s="150"/>
      <c r="F144" s="344"/>
      <c r="G144" s="341"/>
      <c r="H144" s="136">
        <f t="shared" si="26"/>
        <v>1155430</v>
      </c>
      <c r="I144" s="529">
        <v>10598412</v>
      </c>
      <c r="J144" s="149"/>
      <c r="K144" s="241"/>
      <c r="L144" s="342"/>
      <c r="M144" s="175"/>
    </row>
    <row r="145" spans="1:13" s="112" customFormat="1">
      <c r="A145" s="529">
        <v>1284252</v>
      </c>
      <c r="B145" s="136">
        <v>0</v>
      </c>
      <c r="C145" s="632">
        <v>381</v>
      </c>
      <c r="D145" s="95" t="s">
        <v>341</v>
      </c>
      <c r="E145" s="150"/>
      <c r="F145" s="344"/>
      <c r="G145" s="341"/>
      <c r="H145" s="136">
        <f t="shared" si="26"/>
        <v>1284252</v>
      </c>
      <c r="I145" s="529">
        <v>24969707</v>
      </c>
      <c r="J145" s="153"/>
      <c r="K145" s="241"/>
      <c r="L145" s="342"/>
      <c r="M145" s="175"/>
    </row>
    <row r="146" spans="1:13" s="112" customFormat="1">
      <c r="A146" s="529">
        <v>282998</v>
      </c>
      <c r="B146" s="136">
        <v>0</v>
      </c>
      <c r="C146" s="708">
        <v>381.1</v>
      </c>
      <c r="D146" s="95" t="s">
        <v>643</v>
      </c>
      <c r="E146" s="150"/>
      <c r="F146" s="344"/>
      <c r="G146" s="341"/>
      <c r="H146" s="136">
        <f t="shared" si="26"/>
        <v>282998</v>
      </c>
      <c r="I146" s="529">
        <v>2187790</v>
      </c>
      <c r="J146" s="153"/>
      <c r="K146" s="241"/>
      <c r="L146" s="342"/>
      <c r="M146" s="175"/>
    </row>
    <row r="147" spans="1:13" s="276" customFormat="1">
      <c r="A147" s="529">
        <v>38337</v>
      </c>
      <c r="B147" s="136">
        <v>0</v>
      </c>
      <c r="C147" s="632">
        <v>383</v>
      </c>
      <c r="D147" s="95" t="s">
        <v>497</v>
      </c>
      <c r="E147" s="150"/>
      <c r="F147" s="344"/>
      <c r="G147" s="341"/>
      <c r="H147" s="136">
        <f t="shared" si="26"/>
        <v>38337</v>
      </c>
      <c r="I147" s="529">
        <v>983231</v>
      </c>
      <c r="J147" s="153"/>
      <c r="K147" s="309"/>
      <c r="L147" s="308"/>
      <c r="M147" s="311"/>
    </row>
    <row r="148" spans="1:13" s="276" customFormat="1">
      <c r="A148" s="529">
        <v>47345</v>
      </c>
      <c r="B148" s="136">
        <v>0</v>
      </c>
      <c r="C148" s="632">
        <v>384</v>
      </c>
      <c r="D148" s="95" t="s">
        <v>498</v>
      </c>
      <c r="E148" s="150"/>
      <c r="F148" s="345"/>
      <c r="G148" s="341"/>
      <c r="H148" s="136">
        <f t="shared" si="26"/>
        <v>47345</v>
      </c>
      <c r="I148" s="529">
        <v>1369696</v>
      </c>
      <c r="J148" s="153"/>
      <c r="K148" s="309"/>
      <c r="L148" s="308"/>
      <c r="M148" s="311"/>
    </row>
    <row r="149" spans="1:13" s="276" customFormat="1">
      <c r="A149" s="529">
        <v>208789</v>
      </c>
      <c r="B149" s="136">
        <v>7984</v>
      </c>
      <c r="C149" s="632">
        <v>385</v>
      </c>
      <c r="D149" s="95" t="s">
        <v>644</v>
      </c>
      <c r="E149" s="150"/>
      <c r="F149" s="345"/>
      <c r="G149" s="341"/>
      <c r="H149" s="136">
        <f t="shared" si="26"/>
        <v>216773</v>
      </c>
      <c r="I149" s="529">
        <v>6431544</v>
      </c>
      <c r="J149" s="153"/>
      <c r="K149" s="309"/>
      <c r="L149" s="308"/>
      <c r="M149" s="311"/>
    </row>
    <row r="150" spans="1:13" s="276" customFormat="1">
      <c r="A150" s="530">
        <v>3569</v>
      </c>
      <c r="B150" s="545">
        <v>0</v>
      </c>
      <c r="C150" s="632">
        <v>387</v>
      </c>
      <c r="D150" s="95" t="s">
        <v>645</v>
      </c>
      <c r="E150" s="150"/>
      <c r="F150" s="345"/>
      <c r="G150" s="341"/>
      <c r="H150" s="545">
        <f t="shared" si="26"/>
        <v>3569</v>
      </c>
      <c r="I150" s="530">
        <v>42723</v>
      </c>
      <c r="J150" s="153"/>
      <c r="K150" s="309"/>
      <c r="L150" s="308"/>
      <c r="M150" s="311"/>
    </row>
    <row r="151" spans="1:13" s="112" customFormat="1">
      <c r="A151" s="529"/>
      <c r="B151" s="351"/>
      <c r="C151" s="519"/>
      <c r="D151" s="518"/>
      <c r="E151" s="150"/>
      <c r="F151" s="344"/>
      <c r="G151" s="341"/>
      <c r="H151" s="351"/>
      <c r="I151" s="529"/>
      <c r="J151" s="153"/>
      <c r="K151" s="241"/>
      <c r="L151" s="342"/>
      <c r="M151" s="175"/>
    </row>
    <row r="152" spans="1:13" s="112" customFormat="1" ht="15.75">
      <c r="A152" s="544">
        <f>SUM(A137:A150)</f>
        <v>16552499</v>
      </c>
      <c r="B152" s="544">
        <f>SUM(B137:B150)</f>
        <v>2818978</v>
      </c>
      <c r="C152" s="517" t="s">
        <v>499</v>
      </c>
      <c r="D152" s="518"/>
      <c r="E152" s="150"/>
      <c r="F152" s="344"/>
      <c r="G152" s="341"/>
      <c r="H152" s="153">
        <f>SUM(H137:H150)</f>
        <v>19371477</v>
      </c>
      <c r="I152" s="153">
        <f>SUM(I137:I150)</f>
        <v>602068598</v>
      </c>
      <c r="J152" s="153">
        <f>+I152+I176+I177</f>
        <v>605454110</v>
      </c>
      <c r="K152" s="241"/>
      <c r="L152" s="342"/>
      <c r="M152" s="175"/>
    </row>
    <row r="153" spans="1:13" s="112" customFormat="1">
      <c r="A153" s="340"/>
      <c r="B153" s="518"/>
      <c r="C153" s="518"/>
      <c r="D153" s="518"/>
      <c r="E153" s="150"/>
      <c r="F153" s="344"/>
      <c r="G153" s="341"/>
      <c r="H153" s="153"/>
      <c r="I153" s="153"/>
      <c r="J153" s="153"/>
      <c r="K153" s="241"/>
      <c r="L153" s="342"/>
      <c r="M153" s="175"/>
    </row>
    <row r="154" spans="1:13" s="112" customFormat="1" ht="15.75">
      <c r="A154" s="340"/>
      <c r="B154" s="516"/>
      <c r="C154" s="517" t="s">
        <v>243</v>
      </c>
      <c r="D154" s="518"/>
      <c r="E154" s="150"/>
      <c r="F154" s="344"/>
      <c r="G154" s="341"/>
      <c r="H154" s="153"/>
      <c r="I154" s="241"/>
      <c r="J154" s="153"/>
      <c r="K154" s="241"/>
      <c r="L154" s="342"/>
      <c r="M154" s="175"/>
    </row>
    <row r="155" spans="1:13" s="112" customFormat="1">
      <c r="A155" s="529">
        <v>751192</v>
      </c>
      <c r="B155" s="136">
        <v>25900</v>
      </c>
      <c r="C155" s="632">
        <v>390</v>
      </c>
      <c r="D155" s="324" t="s">
        <v>495</v>
      </c>
      <c r="E155" s="150"/>
      <c r="F155" s="344"/>
      <c r="G155" s="341"/>
      <c r="H155" s="136">
        <f t="shared" ref="H155:H168" si="27">+A155+B155</f>
        <v>777092</v>
      </c>
      <c r="I155" s="529">
        <v>14997130</v>
      </c>
      <c r="J155" s="153"/>
      <c r="K155" s="241"/>
      <c r="L155" s="342"/>
      <c r="M155" s="175"/>
    </row>
    <row r="156" spans="1:13" s="112" customFormat="1">
      <c r="A156" s="529">
        <v>37243</v>
      </c>
      <c r="B156" s="136">
        <v>0</v>
      </c>
      <c r="C156" s="708">
        <v>391.1</v>
      </c>
      <c r="D156" s="95" t="s">
        <v>646</v>
      </c>
      <c r="E156" s="150"/>
      <c r="F156" s="344"/>
      <c r="G156" s="341"/>
      <c r="H156" s="136">
        <f t="shared" si="27"/>
        <v>37243</v>
      </c>
      <c r="I156" s="529">
        <v>461904</v>
      </c>
      <c r="J156" s="153"/>
      <c r="K156" s="241"/>
      <c r="L156" s="342"/>
      <c r="M156" s="175"/>
    </row>
    <row r="157" spans="1:13" s="112" customFormat="1">
      <c r="A157" s="529">
        <v>10955</v>
      </c>
      <c r="B157" s="136">
        <v>0</v>
      </c>
      <c r="C157" s="708">
        <v>391.2</v>
      </c>
      <c r="D157" s="95" t="s">
        <v>647</v>
      </c>
      <c r="E157" s="150"/>
      <c r="F157" s="344"/>
      <c r="G157" s="341"/>
      <c r="H157" s="136">
        <f t="shared" si="27"/>
        <v>10955</v>
      </c>
      <c r="I157" s="529">
        <v>44685</v>
      </c>
      <c r="J157" s="153"/>
      <c r="K157" s="241"/>
      <c r="L157" s="342"/>
      <c r="M157" s="175"/>
    </row>
    <row r="158" spans="1:13" s="112" customFormat="1">
      <c r="A158" s="529">
        <v>37562</v>
      </c>
      <c r="B158" s="136">
        <v>0</v>
      </c>
      <c r="C158" s="708">
        <v>391.3</v>
      </c>
      <c r="D158" s="95" t="s">
        <v>648</v>
      </c>
      <c r="E158" s="150"/>
      <c r="F158" s="344"/>
      <c r="G158" s="341"/>
      <c r="H158" s="136">
        <f t="shared" si="27"/>
        <v>37562</v>
      </c>
      <c r="I158" s="529">
        <v>57235</v>
      </c>
      <c r="J158" s="153"/>
      <c r="K158" s="241"/>
      <c r="L158" s="342"/>
      <c r="M158" s="175"/>
    </row>
    <row r="159" spans="1:13" s="112" customFormat="1">
      <c r="A159" s="529">
        <v>46650</v>
      </c>
      <c r="B159" s="136">
        <v>0</v>
      </c>
      <c r="C159" s="709">
        <v>391.41</v>
      </c>
      <c r="D159" s="95" t="s">
        <v>649</v>
      </c>
      <c r="E159" s="346"/>
      <c r="F159" s="347"/>
      <c r="G159" s="348"/>
      <c r="H159" s="136">
        <f t="shared" si="27"/>
        <v>46650</v>
      </c>
      <c r="I159" s="529">
        <v>188014</v>
      </c>
      <c r="J159" s="149"/>
      <c r="K159" s="241"/>
      <c r="L159" s="342"/>
      <c r="M159" s="175"/>
    </row>
    <row r="160" spans="1:13" s="112" customFormat="1">
      <c r="A160" s="529">
        <v>0</v>
      </c>
      <c r="B160" s="136">
        <v>0</v>
      </c>
      <c r="C160" s="709">
        <v>391.42</v>
      </c>
      <c r="D160" s="95" t="s">
        <v>650</v>
      </c>
      <c r="E160" s="150"/>
      <c r="F160" s="344"/>
      <c r="G160" s="341"/>
      <c r="H160" s="136">
        <f t="shared" si="27"/>
        <v>0</v>
      </c>
      <c r="I160" s="529">
        <v>0</v>
      </c>
      <c r="J160" s="149"/>
      <c r="K160" s="241"/>
      <c r="L160" s="342"/>
      <c r="M160" s="175"/>
    </row>
    <row r="161" spans="1:13" s="112" customFormat="1">
      <c r="A161" s="529">
        <v>751317</v>
      </c>
      <c r="B161" s="136">
        <v>-128712</v>
      </c>
      <c r="C161" s="632">
        <v>392</v>
      </c>
      <c r="D161" s="95" t="s">
        <v>651</v>
      </c>
      <c r="E161" s="150"/>
      <c r="F161" s="344"/>
      <c r="G161" s="341"/>
      <c r="H161" s="136">
        <f t="shared" si="27"/>
        <v>622605</v>
      </c>
      <c r="I161" s="529">
        <v>5451763</v>
      </c>
      <c r="J161" s="149"/>
      <c r="K161" s="241"/>
      <c r="L161" s="342"/>
      <c r="M161" s="175"/>
    </row>
    <row r="162" spans="1:13" s="112" customFormat="1">
      <c r="A162" s="529">
        <v>85</v>
      </c>
      <c r="B162" s="136">
        <v>0</v>
      </c>
      <c r="C162" s="632">
        <v>393</v>
      </c>
      <c r="D162" s="95" t="s">
        <v>652</v>
      </c>
      <c r="E162" s="150"/>
      <c r="F162" s="344"/>
      <c r="G162" s="341"/>
      <c r="H162" s="136">
        <f t="shared" si="27"/>
        <v>85</v>
      </c>
      <c r="I162" s="529">
        <v>470</v>
      </c>
      <c r="J162" s="149"/>
      <c r="K162" s="241"/>
      <c r="L162" s="342"/>
      <c r="M162" s="175"/>
    </row>
    <row r="163" spans="1:13" s="112" customFormat="1">
      <c r="A163" s="529">
        <v>367316</v>
      </c>
      <c r="B163" s="136">
        <v>0</v>
      </c>
      <c r="C163" s="632">
        <v>394</v>
      </c>
      <c r="D163" s="95" t="s">
        <v>504</v>
      </c>
      <c r="E163" s="150"/>
      <c r="F163" s="344"/>
      <c r="G163" s="341"/>
      <c r="H163" s="136">
        <f t="shared" si="27"/>
        <v>367316</v>
      </c>
      <c r="I163" s="529">
        <v>4607606</v>
      </c>
      <c r="J163" s="149"/>
      <c r="K163" s="241"/>
      <c r="L163" s="342"/>
      <c r="M163" s="175"/>
    </row>
    <row r="164" spans="1:13" s="112" customFormat="1">
      <c r="A164" s="529">
        <v>14239</v>
      </c>
      <c r="B164" s="136">
        <v>-1344</v>
      </c>
      <c r="C164" s="632">
        <v>396</v>
      </c>
      <c r="D164" s="95" t="s">
        <v>505</v>
      </c>
      <c r="E164" s="150"/>
      <c r="F164" s="344"/>
      <c r="G164" s="341"/>
      <c r="H164" s="136">
        <f t="shared" si="27"/>
        <v>12895</v>
      </c>
      <c r="I164" s="529">
        <v>55057</v>
      </c>
      <c r="J164" s="149"/>
      <c r="K164" s="241"/>
      <c r="L164" s="342"/>
      <c r="M164" s="175"/>
    </row>
    <row r="165" spans="1:13" s="112" customFormat="1">
      <c r="A165" s="529">
        <v>504</v>
      </c>
      <c r="B165" s="136">
        <v>0</v>
      </c>
      <c r="C165" s="632">
        <v>397</v>
      </c>
      <c r="D165" s="95" t="s">
        <v>506</v>
      </c>
      <c r="E165" s="150"/>
      <c r="F165" s="344"/>
      <c r="G165" s="341"/>
      <c r="H165" s="136">
        <f t="shared" si="27"/>
        <v>504</v>
      </c>
      <c r="I165" s="529">
        <v>1140</v>
      </c>
      <c r="J165" s="149"/>
      <c r="K165" s="241"/>
      <c r="L165" s="342"/>
      <c r="M165" s="175"/>
    </row>
    <row r="166" spans="1:13" s="112" customFormat="1">
      <c r="A166" s="529">
        <v>7317</v>
      </c>
      <c r="B166" s="136">
        <v>0</v>
      </c>
      <c r="C166" s="708">
        <v>397.1</v>
      </c>
      <c r="D166" s="95" t="s">
        <v>653</v>
      </c>
      <c r="E166" s="150"/>
      <c r="F166" s="344"/>
      <c r="G166" s="341"/>
      <c r="H166" s="136">
        <f t="shared" si="27"/>
        <v>7317</v>
      </c>
      <c r="I166" s="529">
        <v>7317</v>
      </c>
      <c r="J166" s="149"/>
      <c r="K166" s="241"/>
      <c r="L166" s="342"/>
      <c r="M166" s="175"/>
    </row>
    <row r="167" spans="1:13" s="112" customFormat="1">
      <c r="A167" s="529">
        <v>58062</v>
      </c>
      <c r="B167" s="136">
        <v>0</v>
      </c>
      <c r="C167" s="632">
        <v>398</v>
      </c>
      <c r="D167" s="95" t="s">
        <v>507</v>
      </c>
      <c r="E167" s="150"/>
      <c r="F167" s="344"/>
      <c r="G167" s="341"/>
      <c r="H167" s="136">
        <f t="shared" si="27"/>
        <v>58062</v>
      </c>
      <c r="I167" s="529">
        <v>426450</v>
      </c>
      <c r="J167" s="149"/>
      <c r="K167" s="241"/>
      <c r="L167" s="342"/>
      <c r="M167" s="175"/>
    </row>
    <row r="168" spans="1:13" s="112" customFormat="1">
      <c r="A168" s="730"/>
      <c r="B168" s="136"/>
      <c r="C168" s="632">
        <v>399</v>
      </c>
      <c r="D168" s="95" t="s">
        <v>40</v>
      </c>
      <c r="E168" s="150"/>
      <c r="F168" s="344"/>
      <c r="G168" s="341"/>
      <c r="H168" s="545">
        <f t="shared" si="27"/>
        <v>0</v>
      </c>
      <c r="I168" s="530"/>
      <c r="J168" s="731"/>
      <c r="K168" s="241"/>
      <c r="L168" s="342"/>
      <c r="M168" s="175"/>
    </row>
    <row r="169" spans="1:13" s="112" customFormat="1" ht="15.75">
      <c r="A169" s="544">
        <f>SUM(A155:A168)</f>
        <v>2082442</v>
      </c>
      <c r="B169" s="544">
        <f>SUM(B155:B168)</f>
        <v>-104156</v>
      </c>
      <c r="C169" s="517" t="s">
        <v>508</v>
      </c>
      <c r="D169" s="518"/>
      <c r="E169" s="150"/>
      <c r="F169" s="344"/>
      <c r="G169" s="341"/>
      <c r="H169" s="170">
        <f>SUM(H155:H168)</f>
        <v>1978286</v>
      </c>
      <c r="I169" s="170">
        <f>SUM(I155:I168)</f>
        <v>26298771</v>
      </c>
      <c r="J169" s="149">
        <f>+I169+I178</f>
        <v>27068801</v>
      </c>
      <c r="K169" s="241"/>
      <c r="L169" s="342"/>
      <c r="M169" s="175"/>
    </row>
    <row r="170" spans="1:13" s="112" customFormat="1">
      <c r="A170" s="340"/>
      <c r="B170" s="518"/>
      <c r="C170" s="518"/>
      <c r="D170" s="518"/>
      <c r="E170" s="150"/>
      <c r="F170" s="344"/>
      <c r="G170" s="341"/>
      <c r="H170" s="170"/>
      <c r="I170" s="170"/>
      <c r="J170" s="149"/>
      <c r="K170" s="241"/>
      <c r="L170" s="342"/>
      <c r="M170" s="175"/>
    </row>
    <row r="171" spans="1:13" s="112" customFormat="1" ht="15.75">
      <c r="A171" s="544">
        <f>+A169+A152</f>
        <v>18634941</v>
      </c>
      <c r="B171" s="544">
        <f>+B169+B152</f>
        <v>2714822</v>
      </c>
      <c r="C171" s="521" t="s">
        <v>509</v>
      </c>
      <c r="D171" s="1"/>
      <c r="E171" s="150"/>
      <c r="F171" s="344"/>
      <c r="G171" s="341"/>
      <c r="H171" s="170">
        <f>+H169+H152</f>
        <v>21349763</v>
      </c>
      <c r="I171" s="170">
        <f>+I169+I152</f>
        <v>628367369</v>
      </c>
      <c r="J171" s="149"/>
      <c r="K171" s="241"/>
      <c r="L171" s="342"/>
      <c r="M171" s="175"/>
    </row>
    <row r="172" spans="1:13" s="112" customFormat="1">
      <c r="A172" s="340"/>
      <c r="B172" s="1"/>
      <c r="C172" s="1"/>
      <c r="D172" s="1"/>
      <c r="E172" s="150"/>
      <c r="F172" s="344"/>
      <c r="G172" s="341"/>
      <c r="H172" s="170"/>
      <c r="I172" s="241"/>
      <c r="J172" s="149"/>
      <c r="K172" s="241"/>
      <c r="L172" s="342"/>
      <c r="M172" s="175"/>
    </row>
    <row r="173" spans="1:13" s="112" customFormat="1" ht="15.75">
      <c r="A173" s="340"/>
      <c r="B173" s="516"/>
      <c r="C173" s="521" t="s">
        <v>510</v>
      </c>
      <c r="D173" s="516"/>
      <c r="E173" s="150"/>
      <c r="F173" s="344"/>
      <c r="G173" s="341"/>
      <c r="H173" s="170"/>
      <c r="I173" s="241"/>
      <c r="J173" s="149"/>
      <c r="K173" s="241"/>
      <c r="L173" s="342"/>
      <c r="M173" s="175"/>
    </row>
    <row r="174" spans="1:13" s="112" customFormat="1">
      <c r="A174" s="349"/>
      <c r="B174" s="516"/>
      <c r="C174" s="632">
        <v>301</v>
      </c>
      <c r="D174" s="95" t="s">
        <v>654</v>
      </c>
      <c r="E174" s="150"/>
      <c r="F174" s="344"/>
      <c r="G174" s="341"/>
      <c r="H174" s="529">
        <v>0</v>
      </c>
      <c r="I174" s="529">
        <v>86238</v>
      </c>
      <c r="J174" s="149"/>
      <c r="K174" s="241"/>
      <c r="L174" s="342"/>
      <c r="M174" s="175"/>
    </row>
    <row r="175" spans="1:13" s="112" customFormat="1">
      <c r="A175" s="340"/>
      <c r="B175" s="516"/>
      <c r="C175" s="632">
        <v>302</v>
      </c>
      <c r="D175" s="95" t="s">
        <v>655</v>
      </c>
      <c r="E175" s="150"/>
      <c r="F175" s="344"/>
      <c r="G175" s="341"/>
      <c r="H175" s="529">
        <v>0</v>
      </c>
      <c r="I175" s="529">
        <v>9422</v>
      </c>
      <c r="J175" s="149"/>
      <c r="K175" s="241"/>
      <c r="L175" s="342"/>
      <c r="M175" s="175"/>
    </row>
    <row r="176" spans="1:13" s="112" customFormat="1">
      <c r="A176" s="340"/>
      <c r="B176" s="516"/>
      <c r="C176" s="708">
        <v>374.1</v>
      </c>
      <c r="D176" s="95" t="s">
        <v>656</v>
      </c>
      <c r="E176" s="150"/>
      <c r="F176" s="344"/>
      <c r="G176" s="341"/>
      <c r="H176" s="529">
        <v>0</v>
      </c>
      <c r="I176" s="529">
        <v>276467</v>
      </c>
      <c r="J176" s="153"/>
      <c r="K176" s="241"/>
      <c r="L176" s="342"/>
      <c r="M176" s="175"/>
    </row>
    <row r="177" spans="1:13" s="112" customFormat="1">
      <c r="A177" s="342"/>
      <c r="B177" s="516"/>
      <c r="C177" s="708">
        <v>374.2</v>
      </c>
      <c r="D177" s="95" t="s">
        <v>657</v>
      </c>
      <c r="E177" s="148"/>
      <c r="F177" s="343"/>
      <c r="G177" s="148"/>
      <c r="H177" s="529">
        <v>0</v>
      </c>
      <c r="I177" s="529">
        <v>3109045</v>
      </c>
      <c r="J177" s="148"/>
      <c r="K177" s="241"/>
      <c r="L177" s="342"/>
      <c r="M177" s="175"/>
    </row>
    <row r="178" spans="1:13" s="112" customFormat="1">
      <c r="A178" s="342"/>
      <c r="B178" s="516"/>
      <c r="C178" s="708">
        <v>389.1</v>
      </c>
      <c r="D178" s="95" t="s">
        <v>656</v>
      </c>
      <c r="E178" s="150"/>
      <c r="F178" s="344"/>
      <c r="G178" s="341"/>
      <c r="H178" s="530">
        <v>0</v>
      </c>
      <c r="I178" s="530">
        <v>770030</v>
      </c>
      <c r="J178" s="153"/>
      <c r="K178" s="241"/>
      <c r="L178" s="342"/>
      <c r="M178" s="175"/>
    </row>
    <row r="179" spans="1:13" s="112" customFormat="1" ht="15.75">
      <c r="A179" s="340"/>
      <c r="B179" s="516"/>
      <c r="C179" s="521" t="s">
        <v>511</v>
      </c>
      <c r="D179" s="516"/>
      <c r="E179" s="150"/>
      <c r="F179" s="344"/>
      <c r="G179" s="341"/>
      <c r="H179" s="170">
        <f>SUM(H174:H178)</f>
        <v>0</v>
      </c>
      <c r="I179" s="170">
        <f>SUM(I174:I178)</f>
        <v>4251202</v>
      </c>
      <c r="J179" s="149"/>
      <c r="K179" s="241"/>
      <c r="L179" s="342"/>
      <c r="M179" s="175"/>
    </row>
    <row r="180" spans="1:13" s="112" customFormat="1" ht="15.75">
      <c r="A180" s="340"/>
      <c r="B180" s="521"/>
      <c r="C180" s="516"/>
      <c r="D180" s="516"/>
      <c r="E180" s="150"/>
      <c r="F180" s="344"/>
      <c r="G180" s="341"/>
      <c r="H180" s="170"/>
      <c r="I180" s="241"/>
      <c r="J180" s="149"/>
      <c r="K180" s="241"/>
      <c r="L180" s="342"/>
      <c r="M180" s="175"/>
    </row>
    <row r="181" spans="1:13" s="112" customFormat="1" ht="15.75">
      <c r="A181" s="340"/>
      <c r="C181" s="521" t="s">
        <v>512</v>
      </c>
      <c r="D181" s="516"/>
      <c r="E181" s="150"/>
      <c r="F181" s="344"/>
      <c r="G181" s="341"/>
      <c r="H181" s="170">
        <f>+H179+H169+H152</f>
        <v>21349763</v>
      </c>
      <c r="I181" s="170">
        <f>+I179+I169+I152</f>
        <v>632618571</v>
      </c>
      <c r="J181" s="149"/>
      <c r="K181" s="241"/>
      <c r="L181" s="342"/>
      <c r="M181" s="175"/>
    </row>
    <row r="182" spans="1:13" s="112" customFormat="1" ht="15.75">
      <c r="A182" s="340"/>
      <c r="C182" s="521"/>
      <c r="D182" s="516"/>
      <c r="E182" s="150"/>
      <c r="F182" s="344"/>
      <c r="G182" s="341"/>
      <c r="H182" s="170"/>
      <c r="I182" s="241"/>
      <c r="J182" s="149"/>
      <c r="K182" s="241"/>
      <c r="L182" s="342"/>
      <c r="M182" s="175"/>
    </row>
    <row r="183" spans="1:13" s="112" customFormat="1" ht="15.75">
      <c r="A183" s="340"/>
      <c r="C183" s="523" t="s">
        <v>513</v>
      </c>
      <c r="D183" s="1"/>
      <c r="E183" s="150"/>
      <c r="F183" s="344"/>
      <c r="G183" s="341"/>
      <c r="H183" s="170"/>
      <c r="I183" s="241"/>
      <c r="J183" s="149"/>
      <c r="K183" s="241"/>
      <c r="L183" s="342"/>
      <c r="M183" s="175"/>
    </row>
    <row r="184" spans="1:13" s="112" customFormat="1" ht="15.75">
      <c r="A184" s="340"/>
      <c r="B184" s="521"/>
      <c r="C184" s="44"/>
      <c r="D184" s="1"/>
      <c r="E184" s="150"/>
      <c r="F184" s="344"/>
      <c r="G184" s="341"/>
      <c r="H184" s="170"/>
      <c r="I184" s="241"/>
      <c r="J184" s="149"/>
      <c r="K184" s="241"/>
      <c r="L184" s="342"/>
      <c r="M184" s="175"/>
    </row>
    <row r="185" spans="1:13" s="112" customFormat="1" ht="15.75">
      <c r="A185" s="340"/>
      <c r="B185" s="516"/>
      <c r="C185" s="521" t="s">
        <v>514</v>
      </c>
      <c r="D185" s="1"/>
      <c r="E185" s="150"/>
      <c r="F185" s="344"/>
      <c r="G185" s="341"/>
      <c r="H185" s="170"/>
      <c r="I185" s="241"/>
      <c r="J185" s="149"/>
      <c r="K185" s="241"/>
      <c r="L185" s="342"/>
      <c r="M185" s="175"/>
    </row>
    <row r="186" spans="1:13" s="112" customFormat="1" ht="15.75">
      <c r="A186" s="340"/>
      <c r="B186" s="521"/>
      <c r="C186" s="44">
        <v>301</v>
      </c>
      <c r="D186" s="1" t="s">
        <v>515</v>
      </c>
      <c r="E186" s="150"/>
      <c r="F186" s="344"/>
      <c r="G186" s="341"/>
      <c r="H186" s="529">
        <v>0</v>
      </c>
      <c r="I186" s="529">
        <v>138964</v>
      </c>
      <c r="J186" s="149"/>
      <c r="K186" s="241"/>
      <c r="L186" s="342"/>
      <c r="M186" s="175"/>
    </row>
    <row r="187" spans="1:13" s="112" customFormat="1" ht="15.75">
      <c r="A187" s="340"/>
      <c r="B187" s="521"/>
      <c r="C187" s="44">
        <v>389.1</v>
      </c>
      <c r="D187" s="1" t="s">
        <v>658</v>
      </c>
      <c r="E187" s="150"/>
      <c r="F187" s="344"/>
      <c r="G187" s="341"/>
      <c r="H187" s="529">
        <v>0</v>
      </c>
      <c r="I187" s="529">
        <v>4950000</v>
      </c>
      <c r="J187" s="153"/>
      <c r="K187" s="241"/>
      <c r="L187" s="342"/>
      <c r="M187" s="175"/>
    </row>
    <row r="188" spans="1:13" s="112" customFormat="1" ht="15.75">
      <c r="A188" s="340"/>
      <c r="B188" s="521"/>
      <c r="C188" s="44">
        <v>390.1</v>
      </c>
      <c r="D188" s="710" t="s">
        <v>495</v>
      </c>
      <c r="E188" s="148"/>
      <c r="F188" s="343"/>
      <c r="G188" s="148"/>
      <c r="H188" s="529">
        <v>1004612</v>
      </c>
      <c r="I188" s="529">
        <v>27074300</v>
      </c>
      <c r="J188" s="148"/>
      <c r="K188" s="241"/>
      <c r="L188" s="342"/>
      <c r="M188" s="175"/>
    </row>
    <row r="189" spans="1:13" s="112" customFormat="1" ht="15.75">
      <c r="A189" s="340"/>
      <c r="B189" s="521"/>
      <c r="C189" s="525">
        <v>390.2</v>
      </c>
      <c r="D189" s="710" t="s">
        <v>500</v>
      </c>
      <c r="E189" s="148"/>
      <c r="F189" s="148"/>
      <c r="G189" s="148"/>
      <c r="H189" s="529">
        <v>24923</v>
      </c>
      <c r="I189" s="529">
        <v>24923</v>
      </c>
      <c r="J189" s="153"/>
      <c r="K189" s="241"/>
      <c r="L189" s="342"/>
      <c r="M189" s="175"/>
    </row>
    <row r="190" spans="1:13" s="112" customFormat="1" ht="15.75">
      <c r="A190" s="340"/>
      <c r="B190" s="521"/>
      <c r="C190" s="44">
        <v>391</v>
      </c>
      <c r="D190" s="1" t="s">
        <v>501</v>
      </c>
      <c r="E190" s="148"/>
      <c r="F190" s="148"/>
      <c r="G190" s="148"/>
      <c r="H190" s="529">
        <v>156390</v>
      </c>
      <c r="I190" s="529">
        <v>2538768</v>
      </c>
      <c r="J190" s="153"/>
      <c r="K190" s="241"/>
      <c r="L190" s="342"/>
      <c r="M190" s="175"/>
    </row>
    <row r="191" spans="1:13" s="112" customFormat="1" ht="15.75">
      <c r="A191" s="340"/>
      <c r="B191" s="521"/>
      <c r="C191" s="522">
        <v>391.1</v>
      </c>
      <c r="D191" s="1" t="s">
        <v>502</v>
      </c>
      <c r="E191" s="148"/>
      <c r="F191" s="148"/>
      <c r="G191" s="148"/>
      <c r="H191" s="529">
        <v>17168</v>
      </c>
      <c r="I191" s="529">
        <v>26583</v>
      </c>
      <c r="J191" s="153"/>
      <c r="K191" s="241"/>
      <c r="L191" s="342"/>
      <c r="M191" s="175"/>
    </row>
    <row r="192" spans="1:13" s="112" customFormat="1" ht="15.75">
      <c r="A192" s="340"/>
      <c r="B192" s="521"/>
      <c r="C192" s="44">
        <v>392.1</v>
      </c>
      <c r="D192" s="1" t="s">
        <v>503</v>
      </c>
      <c r="E192" s="148"/>
      <c r="F192" s="148"/>
      <c r="G192" s="148"/>
      <c r="H192" s="530">
        <v>2364</v>
      </c>
      <c r="I192" s="530">
        <v>6122</v>
      </c>
      <c r="J192" s="153"/>
      <c r="K192" s="241"/>
      <c r="L192" s="350"/>
      <c r="M192" s="175"/>
    </row>
    <row r="193" spans="1:4577" s="112" customFormat="1" ht="15.75">
      <c r="A193" s="340"/>
      <c r="B193" s="516"/>
      <c r="C193" s="521" t="s">
        <v>516</v>
      </c>
      <c r="D193" s="1"/>
      <c r="E193" s="148"/>
      <c r="F193" s="148"/>
      <c r="G193" s="148"/>
      <c r="H193" s="529">
        <f>SUM(H186:H192)</f>
        <v>1205457</v>
      </c>
      <c r="I193" s="529">
        <f>SUM(I186:I192)</f>
        <v>34759660</v>
      </c>
      <c r="J193" s="149"/>
      <c r="K193" s="352"/>
      <c r="L193" s="342"/>
      <c r="M193" s="175"/>
    </row>
    <row r="194" spans="1:4577" s="112" customFormat="1" ht="15.75">
      <c r="A194" s="340"/>
      <c r="B194" s="516"/>
      <c r="C194" s="521"/>
      <c r="D194" s="1"/>
      <c r="E194" s="148"/>
      <c r="F194" s="148"/>
      <c r="G194" s="148"/>
      <c r="H194" s="351"/>
      <c r="I194" s="351"/>
      <c r="J194" s="149"/>
      <c r="K194" s="150"/>
      <c r="L194" s="342"/>
      <c r="M194" s="175"/>
    </row>
    <row r="195" spans="1:4577" s="112" customFormat="1" ht="15.75">
      <c r="A195" s="340"/>
      <c r="B195" s="516"/>
      <c r="C195" s="521" t="s">
        <v>659</v>
      </c>
      <c r="D195" s="1"/>
      <c r="E195" s="148"/>
      <c r="F195" s="711">
        <v>0.1489</v>
      </c>
      <c r="G195" s="148"/>
      <c r="H195" s="529">
        <f>ROUND(+H193*F195,0)</f>
        <v>179493</v>
      </c>
      <c r="I195" s="529">
        <f>ROUND(I193*F195,0)</f>
        <v>5175713</v>
      </c>
      <c r="J195" s="153"/>
      <c r="K195" s="241"/>
      <c r="L195" s="342"/>
      <c r="M195" s="175"/>
    </row>
    <row r="196" spans="1:4577" s="112" customFormat="1" ht="15.75">
      <c r="A196" s="340"/>
      <c r="B196" s="521"/>
      <c r="C196" s="44"/>
      <c r="D196" s="1"/>
      <c r="E196" s="148"/>
      <c r="F196" s="148"/>
      <c r="G196" s="148"/>
      <c r="H196" s="153"/>
      <c r="I196" s="153"/>
      <c r="J196" s="153"/>
      <c r="K196" s="241"/>
      <c r="L196" s="342"/>
      <c r="M196" s="175"/>
    </row>
    <row r="197" spans="1:4577" s="112" customFormat="1" ht="15.75">
      <c r="A197" s="340"/>
      <c r="B197" s="516"/>
      <c r="C197" s="521" t="s">
        <v>517</v>
      </c>
      <c r="D197" s="1"/>
      <c r="E197" s="148"/>
      <c r="F197" s="148"/>
      <c r="G197" s="148"/>
      <c r="H197" s="153"/>
      <c r="I197" s="153"/>
      <c r="J197" s="153"/>
      <c r="K197" s="241"/>
      <c r="L197" s="342"/>
      <c r="M197" s="175"/>
    </row>
    <row r="198" spans="1:4577" s="112" customFormat="1" ht="15.75">
      <c r="A198" s="340"/>
      <c r="B198" s="521"/>
      <c r="C198" s="712">
        <v>391</v>
      </c>
      <c r="D198" s="279" t="s">
        <v>501</v>
      </c>
      <c r="E198" s="150"/>
      <c r="F198" s="353"/>
      <c r="G198" s="353"/>
      <c r="H198" s="529">
        <v>2387</v>
      </c>
      <c r="I198" s="529">
        <v>9771</v>
      </c>
      <c r="J198" s="150"/>
      <c r="K198" s="241"/>
      <c r="L198" s="342"/>
      <c r="M198" s="175"/>
    </row>
    <row r="199" spans="1:4577" s="112" customFormat="1" ht="15.75">
      <c r="A199" s="340"/>
      <c r="B199" s="521"/>
      <c r="C199" s="713">
        <v>391.1</v>
      </c>
      <c r="D199" s="279" t="s">
        <v>502</v>
      </c>
      <c r="E199" s="152"/>
      <c r="F199" s="353"/>
      <c r="G199" s="353"/>
      <c r="H199" s="529">
        <v>967391</v>
      </c>
      <c r="I199" s="529">
        <v>2804760</v>
      </c>
      <c r="J199" s="150"/>
      <c r="K199" s="241"/>
      <c r="L199" s="342"/>
      <c r="M199" s="175"/>
    </row>
    <row r="200" spans="1:4577" s="112" customFormat="1">
      <c r="A200" s="340"/>
      <c r="B200" s="524"/>
      <c r="C200" s="713">
        <v>391.3</v>
      </c>
      <c r="D200" s="279" t="s">
        <v>660</v>
      </c>
      <c r="E200" s="150"/>
      <c r="F200" s="353"/>
      <c r="G200" s="353"/>
      <c r="H200" s="529">
        <v>576721</v>
      </c>
      <c r="I200" s="529">
        <v>2798995</v>
      </c>
      <c r="J200" s="149"/>
      <c r="K200" s="241"/>
      <c r="L200" s="342"/>
      <c r="M200" s="175"/>
    </row>
    <row r="201" spans="1:4577" s="112" customFormat="1">
      <c r="A201" s="340"/>
      <c r="B201" s="524"/>
      <c r="C201" s="713"/>
      <c r="D201" s="279"/>
      <c r="E201" s="150"/>
      <c r="F201" s="353"/>
      <c r="G201" s="353"/>
      <c r="H201" s="529"/>
      <c r="I201" s="529"/>
      <c r="J201" s="149"/>
      <c r="K201" s="241"/>
      <c r="L201" s="342"/>
      <c r="M201" s="175"/>
    </row>
    <row r="202" spans="1:4577" s="112" customFormat="1" ht="15.75">
      <c r="A202" s="340"/>
      <c r="B202" s="521"/>
      <c r="C202" s="714"/>
      <c r="D202" s="715" t="s">
        <v>519</v>
      </c>
      <c r="E202" s="150"/>
      <c r="F202" s="353"/>
      <c r="G202" s="353"/>
      <c r="H202" s="529">
        <v>5871319</v>
      </c>
      <c r="I202" s="529">
        <v>82198460</v>
      </c>
      <c r="J202" s="149"/>
      <c r="K202" s="241"/>
      <c r="L202" s="342"/>
      <c r="M202" s="175"/>
    </row>
    <row r="203" spans="1:4577" s="112" customFormat="1" ht="15.75">
      <c r="A203" s="340"/>
      <c r="B203" s="521"/>
      <c r="C203" s="714"/>
      <c r="D203" s="715" t="s">
        <v>518</v>
      </c>
      <c r="E203" s="150"/>
      <c r="F203" s="353"/>
      <c r="G203" s="353"/>
      <c r="H203" s="530">
        <v>727225</v>
      </c>
      <c r="I203" s="530">
        <v>3461600</v>
      </c>
      <c r="J203" s="149"/>
      <c r="K203" s="241"/>
      <c r="L203" s="342"/>
      <c r="M203" s="175"/>
    </row>
    <row r="204" spans="1:4577" s="112" customFormat="1" ht="15.75">
      <c r="A204" s="340"/>
      <c r="B204" s="521"/>
      <c r="C204" s="713">
        <v>391.4</v>
      </c>
      <c r="D204" s="279" t="s">
        <v>661</v>
      </c>
      <c r="E204" s="150"/>
      <c r="F204" s="353"/>
      <c r="G204" s="353"/>
      <c r="H204" s="530">
        <v>6598544</v>
      </c>
      <c r="I204" s="530">
        <v>85660060</v>
      </c>
      <c r="J204" s="149"/>
      <c r="K204" s="241"/>
      <c r="L204" s="342"/>
      <c r="M204" s="175"/>
    </row>
    <row r="205" spans="1:4577" s="112" customFormat="1" ht="15.75">
      <c r="A205" s="340"/>
      <c r="B205" s="516"/>
      <c r="C205" s="521" t="s">
        <v>520</v>
      </c>
      <c r="D205" s="1"/>
      <c r="E205" s="150"/>
      <c r="F205" s="353"/>
      <c r="G205" s="353"/>
      <c r="H205" s="170">
        <f>SUM(H198:H200)+H204</f>
        <v>8145043</v>
      </c>
      <c r="I205" s="170">
        <f>SUM(I198:I200)+I204</f>
        <v>91273586</v>
      </c>
      <c r="J205" s="170"/>
      <c r="K205" s="241"/>
      <c r="L205" s="241"/>
      <c r="M205" s="175"/>
    </row>
    <row r="206" spans="1:4577" s="112" customFormat="1" ht="15.75">
      <c r="A206" s="342"/>
      <c r="B206" s="516"/>
      <c r="C206" s="521"/>
      <c r="D206" s="1"/>
      <c r="E206" s="152"/>
      <c r="F206" s="353"/>
      <c r="G206" s="353"/>
      <c r="H206" s="170"/>
      <c r="I206" s="170"/>
      <c r="J206" s="170"/>
      <c r="K206" s="241"/>
      <c r="L206" s="241"/>
      <c r="M206" s="175"/>
    </row>
    <row r="207" spans="1:4577" s="169" customFormat="1" ht="15.75">
      <c r="A207" s="355"/>
      <c r="B207" s="516"/>
      <c r="C207" s="521" t="s">
        <v>664</v>
      </c>
      <c r="D207" s="1"/>
      <c r="E207" s="152"/>
      <c r="F207" s="716">
        <v>0.28170000000000001</v>
      </c>
      <c r="G207" s="353"/>
      <c r="H207" s="529">
        <f>ROUND(+H205*F207,0)</f>
        <v>2294459</v>
      </c>
      <c r="I207" s="529">
        <f>ROUND(I205*F207,0)</f>
        <v>25711769</v>
      </c>
      <c r="J207" s="149"/>
      <c r="K207" s="241"/>
      <c r="L207" s="241"/>
      <c r="M207" s="175"/>
      <c r="N207" s="112"/>
      <c r="O207" s="112"/>
      <c r="P207" s="112"/>
      <c r="Q207" s="112"/>
      <c r="R207" s="112"/>
      <c r="S207" s="112"/>
      <c r="T207" s="112"/>
      <c r="U207" s="112"/>
      <c r="V207" s="112"/>
      <c r="W207" s="112"/>
      <c r="X207" s="112"/>
      <c r="Y207" s="112"/>
      <c r="Z207" s="112"/>
      <c r="AA207" s="112"/>
      <c r="AB207" s="112"/>
      <c r="AC207" s="112"/>
      <c r="AD207" s="112"/>
      <c r="AE207" s="112"/>
      <c r="AF207" s="112"/>
      <c r="AG207" s="112"/>
      <c r="AH207" s="112"/>
      <c r="AI207" s="112"/>
      <c r="AJ207" s="112"/>
      <c r="AK207" s="112"/>
      <c r="AL207" s="112"/>
      <c r="AM207" s="112"/>
      <c r="AN207" s="112"/>
      <c r="AO207" s="112"/>
      <c r="AP207" s="112"/>
      <c r="AQ207" s="112"/>
      <c r="AR207" s="112"/>
      <c r="AS207" s="112"/>
      <c r="AT207" s="112"/>
      <c r="AU207" s="112"/>
      <c r="AV207" s="112"/>
      <c r="AW207" s="112"/>
      <c r="AX207" s="112"/>
      <c r="AY207" s="112"/>
      <c r="AZ207" s="112"/>
      <c r="BA207" s="112"/>
      <c r="BB207" s="112"/>
      <c r="BC207" s="112"/>
      <c r="BD207" s="112"/>
      <c r="BE207" s="112"/>
      <c r="BF207" s="112"/>
      <c r="BG207" s="112"/>
      <c r="BH207" s="112"/>
      <c r="BI207" s="112"/>
      <c r="BJ207" s="112"/>
      <c r="BK207" s="112"/>
      <c r="BL207" s="112"/>
      <c r="BM207" s="112"/>
      <c r="BN207" s="112"/>
      <c r="BO207" s="112"/>
      <c r="BP207" s="112"/>
      <c r="BQ207" s="112"/>
      <c r="BR207" s="112"/>
      <c r="BS207" s="112"/>
      <c r="BT207" s="112"/>
      <c r="BU207" s="112"/>
      <c r="BV207" s="112"/>
      <c r="BW207" s="112"/>
      <c r="BX207" s="112"/>
      <c r="BY207" s="112"/>
      <c r="BZ207" s="112"/>
      <c r="CA207" s="112"/>
      <c r="CB207" s="112"/>
      <c r="CC207" s="112"/>
      <c r="CD207" s="112"/>
      <c r="CE207" s="112"/>
      <c r="CF207" s="112"/>
      <c r="CG207" s="112"/>
      <c r="CH207" s="112"/>
      <c r="CI207" s="112"/>
      <c r="CJ207" s="112"/>
      <c r="CK207" s="112"/>
      <c r="CL207" s="112"/>
      <c r="CM207" s="112"/>
      <c r="CN207" s="112"/>
      <c r="CO207" s="112"/>
      <c r="CP207" s="112"/>
      <c r="CQ207" s="112"/>
      <c r="CR207" s="112"/>
      <c r="CS207" s="112"/>
      <c r="CT207" s="112"/>
      <c r="CU207" s="112"/>
      <c r="CV207" s="112"/>
      <c r="CW207" s="112"/>
      <c r="CX207" s="112"/>
      <c r="CY207" s="112"/>
      <c r="CZ207" s="112"/>
      <c r="DA207" s="112"/>
      <c r="DB207" s="112"/>
      <c r="DC207" s="112"/>
      <c r="DD207" s="112"/>
      <c r="DE207" s="112"/>
      <c r="DF207" s="112"/>
      <c r="DG207" s="112"/>
      <c r="DH207" s="112"/>
      <c r="DI207" s="112"/>
      <c r="DJ207" s="112"/>
      <c r="DK207" s="112"/>
      <c r="DL207" s="112"/>
      <c r="DM207" s="112"/>
      <c r="DN207" s="112"/>
      <c r="DO207" s="112"/>
      <c r="DP207" s="112"/>
      <c r="DQ207" s="112"/>
      <c r="DR207" s="112"/>
      <c r="DS207" s="112"/>
      <c r="DT207" s="112"/>
      <c r="DU207" s="112"/>
      <c r="DV207" s="112"/>
      <c r="DW207" s="112"/>
      <c r="DX207" s="112"/>
      <c r="DY207" s="112"/>
      <c r="DZ207" s="112"/>
      <c r="EA207" s="112"/>
      <c r="EB207" s="112"/>
      <c r="EC207" s="112"/>
      <c r="ED207" s="112"/>
      <c r="EE207" s="112"/>
      <c r="EF207" s="112"/>
      <c r="EG207" s="112"/>
      <c r="EH207" s="112"/>
      <c r="EI207" s="112"/>
      <c r="EJ207" s="112"/>
      <c r="EK207" s="112"/>
      <c r="EL207" s="112"/>
      <c r="EM207" s="112"/>
      <c r="EN207" s="112"/>
      <c r="EO207" s="112"/>
      <c r="EP207" s="112"/>
      <c r="EQ207" s="112"/>
      <c r="ER207" s="112"/>
      <c r="ES207" s="112"/>
      <c r="ET207" s="112"/>
      <c r="EU207" s="112"/>
      <c r="EV207" s="112"/>
      <c r="EW207" s="112"/>
      <c r="EX207" s="112"/>
      <c r="EY207" s="112"/>
      <c r="EZ207" s="112"/>
      <c r="FA207" s="112"/>
      <c r="FB207" s="112"/>
      <c r="FC207" s="112"/>
      <c r="FD207" s="112"/>
      <c r="FE207" s="112"/>
      <c r="FF207" s="112"/>
      <c r="FG207" s="112"/>
      <c r="FH207" s="112"/>
      <c r="FI207" s="112"/>
      <c r="FJ207" s="112"/>
      <c r="FK207" s="112"/>
      <c r="FL207" s="112"/>
      <c r="FM207" s="112"/>
      <c r="FN207" s="112"/>
      <c r="FO207" s="112"/>
      <c r="FP207" s="112"/>
      <c r="FQ207" s="112"/>
      <c r="FR207" s="112"/>
      <c r="FS207" s="112"/>
      <c r="FT207" s="112"/>
      <c r="FU207" s="112"/>
      <c r="FV207" s="112"/>
      <c r="FW207" s="112"/>
      <c r="FX207" s="112"/>
      <c r="FY207" s="112"/>
      <c r="FZ207" s="112"/>
      <c r="GA207" s="112"/>
      <c r="GB207" s="112"/>
      <c r="GC207" s="112"/>
      <c r="GD207" s="112"/>
      <c r="GE207" s="112"/>
      <c r="GF207" s="112"/>
      <c r="GG207" s="112"/>
      <c r="GH207" s="112"/>
      <c r="GI207" s="112"/>
      <c r="GJ207" s="112"/>
      <c r="GK207" s="112"/>
      <c r="GL207" s="112"/>
      <c r="GM207" s="112"/>
      <c r="GN207" s="112"/>
      <c r="GO207" s="112"/>
      <c r="GP207" s="112"/>
      <c r="GQ207" s="112"/>
      <c r="GR207" s="112"/>
      <c r="GS207" s="112"/>
      <c r="GT207" s="112"/>
      <c r="GU207" s="112"/>
      <c r="GV207" s="112"/>
      <c r="GW207" s="112"/>
      <c r="GX207" s="112"/>
      <c r="GY207" s="112"/>
      <c r="GZ207" s="112"/>
      <c r="HA207" s="112"/>
      <c r="HB207" s="112"/>
      <c r="HC207" s="112"/>
      <c r="HD207" s="112"/>
      <c r="HE207" s="112"/>
      <c r="HF207" s="112"/>
      <c r="HG207" s="112"/>
      <c r="HH207" s="112"/>
      <c r="HI207" s="112"/>
      <c r="HJ207" s="112"/>
      <c r="HK207" s="112"/>
      <c r="HL207" s="112"/>
      <c r="HM207" s="112"/>
      <c r="HN207" s="112"/>
      <c r="HO207" s="112"/>
      <c r="HP207" s="112"/>
      <c r="HQ207" s="112"/>
      <c r="HR207" s="112"/>
      <c r="HS207" s="112"/>
      <c r="HT207" s="112"/>
      <c r="HU207" s="112"/>
      <c r="HV207" s="112"/>
      <c r="HW207" s="112"/>
      <c r="HX207" s="112"/>
      <c r="HY207" s="112"/>
      <c r="HZ207" s="112"/>
      <c r="IA207" s="112"/>
      <c r="IB207" s="112"/>
      <c r="IC207" s="112"/>
      <c r="ID207" s="112"/>
      <c r="IE207" s="112"/>
      <c r="IF207" s="112"/>
      <c r="IG207" s="112"/>
      <c r="IH207" s="112"/>
      <c r="II207" s="112"/>
      <c r="IJ207" s="112"/>
      <c r="IK207" s="112"/>
      <c r="IL207" s="112"/>
      <c r="IM207" s="112"/>
      <c r="IN207" s="112"/>
      <c r="IO207" s="112"/>
      <c r="IP207" s="112"/>
      <c r="IQ207" s="112"/>
      <c r="IR207" s="112"/>
      <c r="IS207" s="112"/>
      <c r="IT207" s="112"/>
      <c r="IU207" s="112"/>
      <c r="IV207" s="112"/>
      <c r="IW207" s="112"/>
      <c r="IX207" s="112"/>
      <c r="IY207" s="112"/>
      <c r="IZ207" s="112"/>
      <c r="JA207" s="112"/>
      <c r="JB207" s="112"/>
      <c r="JC207" s="112"/>
      <c r="JD207" s="112"/>
      <c r="JE207" s="112"/>
      <c r="JF207" s="112"/>
      <c r="JG207" s="112"/>
      <c r="JH207" s="112"/>
      <c r="JI207" s="112"/>
      <c r="JJ207" s="112"/>
      <c r="JK207" s="112"/>
      <c r="JL207" s="112"/>
      <c r="JM207" s="112"/>
      <c r="JN207" s="112"/>
      <c r="JO207" s="112"/>
      <c r="JP207" s="112"/>
      <c r="JQ207" s="112"/>
      <c r="JR207" s="112"/>
      <c r="JS207" s="112"/>
      <c r="JT207" s="112"/>
      <c r="JU207" s="112"/>
      <c r="JV207" s="112"/>
      <c r="JW207" s="112"/>
      <c r="JX207" s="112"/>
      <c r="JY207" s="112"/>
      <c r="JZ207" s="112"/>
      <c r="KA207" s="112"/>
      <c r="KB207" s="112"/>
      <c r="KC207" s="112"/>
      <c r="KD207" s="112"/>
      <c r="KE207" s="112"/>
      <c r="KF207" s="112"/>
      <c r="KG207" s="112"/>
      <c r="KH207" s="112"/>
      <c r="KI207" s="112"/>
      <c r="KJ207" s="112"/>
      <c r="KK207" s="112"/>
      <c r="KL207" s="112"/>
      <c r="KM207" s="112"/>
      <c r="KN207" s="112"/>
      <c r="KO207" s="112"/>
      <c r="KP207" s="112"/>
      <c r="KQ207" s="112"/>
      <c r="KR207" s="112"/>
      <c r="KS207" s="112"/>
      <c r="KT207" s="112"/>
      <c r="KU207" s="112"/>
      <c r="KV207" s="112"/>
      <c r="KW207" s="112"/>
      <c r="KX207" s="112"/>
      <c r="KY207" s="112"/>
      <c r="KZ207" s="112"/>
      <c r="LA207" s="112"/>
      <c r="LB207" s="112"/>
      <c r="LC207" s="112"/>
      <c r="LD207" s="112"/>
      <c r="LE207" s="112"/>
      <c r="LF207" s="112"/>
      <c r="LG207" s="112"/>
      <c r="LH207" s="112"/>
      <c r="LI207" s="112"/>
      <c r="LJ207" s="112"/>
      <c r="LK207" s="112"/>
      <c r="LL207" s="112"/>
      <c r="LM207" s="112"/>
      <c r="LN207" s="112"/>
      <c r="LO207" s="112"/>
      <c r="LP207" s="112"/>
      <c r="LQ207" s="112"/>
      <c r="LR207" s="112"/>
      <c r="LS207" s="112"/>
      <c r="LT207" s="112"/>
      <c r="LU207" s="112"/>
      <c r="LV207" s="112"/>
      <c r="LW207" s="112"/>
      <c r="LX207" s="112"/>
      <c r="LY207" s="112"/>
      <c r="LZ207" s="112"/>
      <c r="MA207" s="112"/>
      <c r="MB207" s="112"/>
      <c r="MC207" s="112"/>
      <c r="MD207" s="112"/>
      <c r="ME207" s="112"/>
      <c r="MF207" s="112"/>
      <c r="MG207" s="112"/>
      <c r="MH207" s="112"/>
      <c r="MI207" s="112"/>
      <c r="MJ207" s="112"/>
      <c r="MK207" s="112"/>
      <c r="ML207" s="112"/>
      <c r="MM207" s="112"/>
      <c r="MN207" s="112"/>
      <c r="MO207" s="112"/>
      <c r="MP207" s="112"/>
      <c r="MQ207" s="112"/>
      <c r="MR207" s="112"/>
      <c r="MS207" s="112"/>
      <c r="MT207" s="112"/>
      <c r="MU207" s="112"/>
      <c r="MV207" s="112"/>
      <c r="MW207" s="112"/>
      <c r="MX207" s="112"/>
      <c r="MY207" s="112"/>
      <c r="MZ207" s="112"/>
      <c r="NA207" s="112"/>
      <c r="NB207" s="112"/>
      <c r="NC207" s="112"/>
      <c r="ND207" s="112"/>
      <c r="NE207" s="112"/>
      <c r="NF207" s="112"/>
      <c r="NG207" s="112"/>
      <c r="NH207" s="112"/>
      <c r="NI207" s="112"/>
      <c r="NJ207" s="112"/>
      <c r="NK207" s="112"/>
      <c r="NL207" s="112"/>
      <c r="NM207" s="112"/>
      <c r="NN207" s="112"/>
      <c r="NO207" s="112"/>
      <c r="NP207" s="112"/>
      <c r="NQ207" s="112"/>
      <c r="NR207" s="112"/>
      <c r="NS207" s="112"/>
      <c r="NT207" s="112"/>
      <c r="NU207" s="112"/>
      <c r="NV207" s="112"/>
      <c r="NW207" s="112"/>
      <c r="NX207" s="112"/>
      <c r="NY207" s="112"/>
      <c r="NZ207" s="112"/>
      <c r="OA207" s="112"/>
      <c r="OB207" s="112"/>
      <c r="OC207" s="112"/>
      <c r="OD207" s="112"/>
      <c r="OE207" s="112"/>
      <c r="OF207" s="112"/>
      <c r="OG207" s="112"/>
      <c r="OH207" s="112"/>
      <c r="OI207" s="112"/>
      <c r="OJ207" s="112"/>
      <c r="OK207" s="112"/>
      <c r="OL207" s="112"/>
      <c r="OM207" s="112"/>
      <c r="ON207" s="112"/>
      <c r="OO207" s="112"/>
      <c r="OP207" s="112"/>
      <c r="OQ207" s="112"/>
      <c r="OR207" s="112"/>
      <c r="OS207" s="112"/>
      <c r="OT207" s="112"/>
      <c r="OU207" s="112"/>
      <c r="OV207" s="112"/>
      <c r="OW207" s="112"/>
      <c r="OX207" s="112"/>
      <c r="OY207" s="112"/>
      <c r="OZ207" s="112"/>
      <c r="PA207" s="112"/>
      <c r="PB207" s="112"/>
      <c r="PC207" s="112"/>
      <c r="PD207" s="112"/>
      <c r="PE207" s="112"/>
      <c r="PF207" s="112"/>
      <c r="PG207" s="112"/>
      <c r="PH207" s="112"/>
      <c r="PI207" s="112"/>
      <c r="PJ207" s="112"/>
      <c r="PK207" s="112"/>
      <c r="PL207" s="112"/>
      <c r="PM207" s="112"/>
      <c r="PN207" s="112"/>
      <c r="PO207" s="112"/>
      <c r="PP207" s="112"/>
      <c r="PQ207" s="112"/>
      <c r="PR207" s="112"/>
      <c r="PS207" s="112"/>
      <c r="PT207" s="112"/>
      <c r="PU207" s="112"/>
      <c r="PV207" s="112"/>
      <c r="PW207" s="112"/>
      <c r="PX207" s="112"/>
      <c r="PY207" s="112"/>
      <c r="PZ207" s="112"/>
      <c r="QA207" s="112"/>
      <c r="QB207" s="112"/>
      <c r="QC207" s="112"/>
      <c r="QD207" s="112"/>
      <c r="QE207" s="112"/>
      <c r="QF207" s="112"/>
      <c r="QG207" s="112"/>
      <c r="QH207" s="112"/>
      <c r="QI207" s="112"/>
      <c r="QJ207" s="112"/>
      <c r="QK207" s="112"/>
      <c r="QL207" s="112"/>
      <c r="QM207" s="112"/>
      <c r="QN207" s="112"/>
      <c r="QO207" s="112"/>
      <c r="QP207" s="112"/>
      <c r="QQ207" s="112"/>
      <c r="QR207" s="112"/>
      <c r="QS207" s="112"/>
      <c r="QT207" s="112"/>
      <c r="QU207" s="112"/>
      <c r="QV207" s="112"/>
      <c r="QW207" s="112"/>
      <c r="QX207" s="112"/>
      <c r="QY207" s="112"/>
      <c r="QZ207" s="112"/>
      <c r="RA207" s="112"/>
      <c r="RB207" s="112"/>
      <c r="RC207" s="112"/>
      <c r="RD207" s="112"/>
      <c r="RE207" s="112"/>
      <c r="RF207" s="112"/>
      <c r="RG207" s="112"/>
      <c r="RH207" s="112"/>
      <c r="RI207" s="112"/>
      <c r="RJ207" s="112"/>
      <c r="RK207" s="112"/>
      <c r="RL207" s="112"/>
      <c r="RM207" s="112"/>
      <c r="RN207" s="112"/>
      <c r="RO207" s="112"/>
      <c r="RP207" s="112"/>
      <c r="RQ207" s="112"/>
      <c r="RR207" s="112"/>
      <c r="RS207" s="112"/>
      <c r="RT207" s="112"/>
      <c r="RU207" s="112"/>
      <c r="RV207" s="112"/>
      <c r="RW207" s="112"/>
      <c r="RX207" s="112"/>
      <c r="RY207" s="112"/>
      <c r="RZ207" s="112"/>
      <c r="SA207" s="112"/>
      <c r="SB207" s="112"/>
      <c r="SC207" s="112"/>
      <c r="SD207" s="112"/>
      <c r="SE207" s="112"/>
      <c r="SF207" s="112"/>
      <c r="SG207" s="112"/>
      <c r="SH207" s="112"/>
      <c r="SI207" s="112"/>
      <c r="SJ207" s="112"/>
      <c r="SK207" s="112"/>
      <c r="SL207" s="112"/>
      <c r="SM207" s="112"/>
      <c r="SN207" s="112"/>
      <c r="SO207" s="112"/>
      <c r="SP207" s="112"/>
      <c r="SQ207" s="112"/>
      <c r="SR207" s="112"/>
      <c r="SS207" s="112"/>
      <c r="ST207" s="112"/>
      <c r="SU207" s="112"/>
      <c r="SV207" s="112"/>
      <c r="SW207" s="112"/>
      <c r="SX207" s="112"/>
      <c r="SY207" s="112"/>
      <c r="SZ207" s="112"/>
      <c r="TA207" s="112"/>
      <c r="TB207" s="112"/>
      <c r="TC207" s="112"/>
      <c r="TD207" s="112"/>
      <c r="TE207" s="112"/>
      <c r="TF207" s="112"/>
      <c r="TG207" s="112"/>
      <c r="TH207" s="112"/>
      <c r="TI207" s="112"/>
      <c r="TJ207" s="112"/>
      <c r="TK207" s="112"/>
      <c r="TL207" s="112"/>
      <c r="TM207" s="112"/>
      <c r="TN207" s="112"/>
      <c r="TO207" s="112"/>
      <c r="TP207" s="112"/>
      <c r="TQ207" s="112"/>
      <c r="TR207" s="112"/>
      <c r="TS207" s="112"/>
      <c r="TT207" s="112"/>
      <c r="TU207" s="112"/>
      <c r="TV207" s="112"/>
      <c r="TW207" s="112"/>
      <c r="TX207" s="112"/>
      <c r="TY207" s="112"/>
      <c r="TZ207" s="112"/>
      <c r="UA207" s="112"/>
      <c r="UB207" s="112"/>
      <c r="UC207" s="112"/>
      <c r="UD207" s="112"/>
      <c r="UE207" s="112"/>
      <c r="UF207" s="112"/>
      <c r="UG207" s="112"/>
      <c r="UH207" s="112"/>
      <c r="UI207" s="112"/>
      <c r="UJ207" s="112"/>
      <c r="UK207" s="112"/>
      <c r="UL207" s="112"/>
      <c r="UM207" s="112"/>
      <c r="UN207" s="112"/>
      <c r="UO207" s="112"/>
      <c r="UP207" s="112"/>
      <c r="UQ207" s="112"/>
      <c r="UR207" s="112"/>
      <c r="US207" s="112"/>
      <c r="UT207" s="112"/>
      <c r="UU207" s="112"/>
      <c r="UV207" s="112"/>
      <c r="UW207" s="112"/>
      <c r="UX207" s="112"/>
      <c r="UY207" s="112"/>
      <c r="UZ207" s="112"/>
      <c r="VA207" s="112"/>
      <c r="VB207" s="112"/>
      <c r="VC207" s="112"/>
      <c r="VD207" s="112"/>
      <c r="VE207" s="112"/>
      <c r="VF207" s="112"/>
      <c r="VG207" s="112"/>
      <c r="VH207" s="112"/>
      <c r="VI207" s="112"/>
      <c r="VJ207" s="112"/>
      <c r="VK207" s="112"/>
      <c r="VL207" s="112"/>
      <c r="VM207" s="112"/>
      <c r="VN207" s="112"/>
      <c r="VO207" s="112"/>
      <c r="VP207" s="112"/>
      <c r="VQ207" s="112"/>
      <c r="VR207" s="112"/>
      <c r="VS207" s="112"/>
      <c r="VT207" s="112"/>
      <c r="VU207" s="112"/>
      <c r="VV207" s="112"/>
      <c r="VW207" s="112"/>
      <c r="VX207" s="112"/>
      <c r="VY207" s="112"/>
      <c r="VZ207" s="112"/>
      <c r="WA207" s="112"/>
      <c r="WB207" s="112"/>
      <c r="WC207" s="112"/>
      <c r="WD207" s="112"/>
      <c r="WE207" s="112"/>
      <c r="WF207" s="112"/>
      <c r="WG207" s="112"/>
      <c r="WH207" s="112"/>
      <c r="WI207" s="112"/>
      <c r="WJ207" s="112"/>
      <c r="WK207" s="112"/>
      <c r="WL207" s="112"/>
      <c r="WM207" s="112"/>
      <c r="WN207" s="112"/>
      <c r="WO207" s="112"/>
      <c r="WP207" s="112"/>
      <c r="WQ207" s="112"/>
      <c r="WR207" s="112"/>
      <c r="WS207" s="112"/>
      <c r="WT207" s="112"/>
      <c r="WU207" s="112"/>
      <c r="WV207" s="112"/>
      <c r="WW207" s="112"/>
      <c r="WX207" s="112"/>
      <c r="WY207" s="112"/>
      <c r="WZ207" s="112"/>
      <c r="XA207" s="112"/>
      <c r="XB207" s="112"/>
      <c r="XC207" s="112"/>
      <c r="XD207" s="112"/>
      <c r="XE207" s="112"/>
      <c r="XF207" s="112"/>
      <c r="XG207" s="112"/>
      <c r="XH207" s="112"/>
      <c r="XI207" s="112"/>
      <c r="XJ207" s="112"/>
      <c r="XK207" s="112"/>
      <c r="XL207" s="112"/>
      <c r="XM207" s="112"/>
      <c r="XN207" s="112"/>
      <c r="XO207" s="112"/>
      <c r="XP207" s="112"/>
      <c r="XQ207" s="112"/>
      <c r="XR207" s="112"/>
      <c r="XS207" s="112"/>
      <c r="XT207" s="112"/>
      <c r="XU207" s="112"/>
      <c r="XV207" s="112"/>
      <c r="XW207" s="112"/>
      <c r="XX207" s="112"/>
      <c r="XY207" s="112"/>
      <c r="XZ207" s="112"/>
      <c r="YA207" s="112"/>
      <c r="YB207" s="112"/>
      <c r="YC207" s="112"/>
      <c r="YD207" s="112"/>
      <c r="YE207" s="112"/>
      <c r="YF207" s="112"/>
      <c r="YG207" s="112"/>
      <c r="YH207" s="112"/>
      <c r="YI207" s="112"/>
      <c r="YJ207" s="112"/>
      <c r="YK207" s="112"/>
      <c r="YL207" s="112"/>
      <c r="YM207" s="112"/>
      <c r="YN207" s="112"/>
      <c r="YO207" s="112"/>
      <c r="YP207" s="112"/>
      <c r="YQ207" s="112"/>
      <c r="YR207" s="112"/>
      <c r="YS207" s="112"/>
      <c r="YT207" s="112"/>
      <c r="YU207" s="112"/>
      <c r="YV207" s="112"/>
      <c r="YW207" s="112"/>
      <c r="YX207" s="112"/>
      <c r="YY207" s="112"/>
      <c r="YZ207" s="112"/>
      <c r="ZA207" s="112"/>
      <c r="ZB207" s="112"/>
      <c r="ZC207" s="112"/>
      <c r="ZD207" s="112"/>
      <c r="ZE207" s="112"/>
      <c r="ZF207" s="112"/>
      <c r="ZG207" s="112"/>
      <c r="ZH207" s="112"/>
      <c r="ZI207" s="112"/>
      <c r="ZJ207" s="112"/>
      <c r="ZK207" s="112"/>
      <c r="ZL207" s="112"/>
      <c r="ZM207" s="112"/>
      <c r="ZN207" s="112"/>
      <c r="ZO207" s="112"/>
      <c r="ZP207" s="112"/>
      <c r="ZQ207" s="112"/>
      <c r="ZR207" s="112"/>
      <c r="ZS207" s="112"/>
      <c r="ZT207" s="112"/>
      <c r="ZU207" s="112"/>
      <c r="ZV207" s="112"/>
      <c r="ZW207" s="112"/>
      <c r="ZX207" s="112"/>
      <c r="ZY207" s="112"/>
      <c r="ZZ207" s="112"/>
      <c r="AAA207" s="112"/>
      <c r="AAB207" s="112"/>
      <c r="AAC207" s="112"/>
      <c r="AAD207" s="112"/>
      <c r="AAE207" s="112"/>
      <c r="AAF207" s="112"/>
      <c r="AAG207" s="112"/>
      <c r="AAH207" s="112"/>
      <c r="AAI207" s="112"/>
      <c r="AAJ207" s="112"/>
      <c r="AAK207" s="112"/>
      <c r="AAL207" s="112"/>
      <c r="AAM207" s="112"/>
      <c r="AAN207" s="112"/>
      <c r="AAO207" s="112"/>
      <c r="AAP207" s="112"/>
      <c r="AAQ207" s="112"/>
      <c r="AAR207" s="112"/>
      <c r="AAS207" s="112"/>
      <c r="AAT207" s="112"/>
      <c r="AAU207" s="112"/>
      <c r="AAV207" s="112"/>
      <c r="AAW207" s="112"/>
      <c r="AAX207" s="112"/>
      <c r="AAY207" s="112"/>
      <c r="AAZ207" s="112"/>
      <c r="ABA207" s="112"/>
      <c r="ABB207" s="112"/>
      <c r="ABC207" s="112"/>
      <c r="ABD207" s="112"/>
      <c r="ABE207" s="112"/>
      <c r="ABF207" s="112"/>
      <c r="ABG207" s="112"/>
      <c r="ABH207" s="112"/>
      <c r="ABI207" s="112"/>
      <c r="ABJ207" s="112"/>
      <c r="ABK207" s="112"/>
      <c r="ABL207" s="112"/>
      <c r="ABM207" s="112"/>
      <c r="ABN207" s="112"/>
      <c r="ABO207" s="112"/>
      <c r="ABP207" s="112"/>
      <c r="ABQ207" s="112"/>
      <c r="ABR207" s="112"/>
      <c r="ABS207" s="112"/>
      <c r="ABT207" s="112"/>
      <c r="ABU207" s="112"/>
      <c r="ABV207" s="112"/>
      <c r="ABW207" s="112"/>
      <c r="ABX207" s="112"/>
      <c r="ABY207" s="112"/>
      <c r="ABZ207" s="112"/>
      <c r="ACA207" s="112"/>
      <c r="ACB207" s="112"/>
      <c r="ACC207" s="112"/>
      <c r="ACD207" s="112"/>
      <c r="ACE207" s="112"/>
      <c r="ACF207" s="112"/>
      <c r="ACG207" s="112"/>
      <c r="ACH207" s="112"/>
      <c r="ACI207" s="112"/>
      <c r="ACJ207" s="112"/>
      <c r="ACK207" s="112"/>
      <c r="ACL207" s="112"/>
      <c r="ACM207" s="112"/>
      <c r="ACN207" s="112"/>
      <c r="ACO207" s="112"/>
      <c r="ACP207" s="112"/>
      <c r="ACQ207" s="112"/>
      <c r="ACR207" s="112"/>
      <c r="ACS207" s="112"/>
      <c r="ACT207" s="112"/>
      <c r="ACU207" s="112"/>
      <c r="ACV207" s="112"/>
      <c r="ACW207" s="112"/>
      <c r="ACX207" s="112"/>
      <c r="ACY207" s="112"/>
      <c r="ACZ207" s="112"/>
      <c r="ADA207" s="112"/>
      <c r="ADB207" s="112"/>
      <c r="ADC207" s="112"/>
      <c r="ADD207" s="112"/>
      <c r="ADE207" s="112"/>
      <c r="ADF207" s="112"/>
      <c r="ADG207" s="112"/>
      <c r="ADH207" s="112"/>
      <c r="ADI207" s="112"/>
      <c r="ADJ207" s="112"/>
      <c r="ADK207" s="112"/>
      <c r="ADL207" s="112"/>
      <c r="ADM207" s="112"/>
      <c r="ADN207" s="112"/>
      <c r="ADO207" s="112"/>
      <c r="ADP207" s="112"/>
      <c r="ADQ207" s="112"/>
      <c r="ADR207" s="112"/>
      <c r="ADS207" s="112"/>
      <c r="ADT207" s="112"/>
      <c r="ADU207" s="112"/>
      <c r="ADV207" s="112"/>
      <c r="ADW207" s="112"/>
      <c r="ADX207" s="112"/>
      <c r="ADY207" s="112"/>
      <c r="ADZ207" s="112"/>
      <c r="AEA207" s="112"/>
      <c r="AEB207" s="112"/>
      <c r="AEC207" s="112"/>
      <c r="AED207" s="112"/>
      <c r="AEE207" s="112"/>
      <c r="AEF207" s="112"/>
      <c r="AEG207" s="112"/>
      <c r="AEH207" s="112"/>
      <c r="AEI207" s="112"/>
      <c r="AEJ207" s="112"/>
      <c r="AEK207" s="112"/>
      <c r="AEL207" s="112"/>
      <c r="AEM207" s="112"/>
      <c r="AEN207" s="112"/>
      <c r="AEO207" s="112"/>
      <c r="AEP207" s="112"/>
      <c r="AEQ207" s="112"/>
      <c r="AER207" s="112"/>
      <c r="AES207" s="112"/>
      <c r="AET207" s="112"/>
      <c r="AEU207" s="112"/>
      <c r="AEV207" s="112"/>
      <c r="AEW207" s="112"/>
      <c r="AEX207" s="112"/>
      <c r="AEY207" s="112"/>
      <c r="AEZ207" s="112"/>
      <c r="AFA207" s="112"/>
      <c r="AFB207" s="112"/>
      <c r="AFC207" s="112"/>
      <c r="AFD207" s="112"/>
      <c r="AFE207" s="112"/>
      <c r="AFF207" s="112"/>
      <c r="AFG207" s="112"/>
      <c r="AFH207" s="112"/>
      <c r="AFI207" s="112"/>
      <c r="AFJ207" s="112"/>
      <c r="AFK207" s="112"/>
      <c r="AFL207" s="112"/>
      <c r="AFM207" s="112"/>
      <c r="AFN207" s="112"/>
      <c r="AFO207" s="112"/>
      <c r="AFP207" s="112"/>
      <c r="AFQ207" s="112"/>
      <c r="AFR207" s="112"/>
      <c r="AFS207" s="112"/>
      <c r="AFT207" s="112"/>
      <c r="AFU207" s="112"/>
      <c r="AFV207" s="112"/>
      <c r="AFW207" s="112"/>
      <c r="AFX207" s="112"/>
      <c r="AFY207" s="112"/>
      <c r="AFZ207" s="112"/>
      <c r="AGA207" s="112"/>
      <c r="AGB207" s="112"/>
      <c r="AGC207" s="112"/>
      <c r="AGD207" s="112"/>
      <c r="AGE207" s="112"/>
      <c r="AGF207" s="112"/>
      <c r="AGG207" s="112"/>
      <c r="AGH207" s="112"/>
      <c r="AGI207" s="112"/>
      <c r="AGJ207" s="112"/>
      <c r="AGK207" s="112"/>
      <c r="AGL207" s="112"/>
      <c r="AGM207" s="112"/>
      <c r="AGN207" s="112"/>
      <c r="AGO207" s="112"/>
      <c r="AGP207" s="112"/>
      <c r="AGQ207" s="112"/>
      <c r="AGR207" s="112"/>
      <c r="AGS207" s="112"/>
      <c r="AGT207" s="112"/>
      <c r="AGU207" s="112"/>
      <c r="AGV207" s="112"/>
      <c r="AGW207" s="112"/>
      <c r="AGX207" s="112"/>
      <c r="AGY207" s="112"/>
      <c r="AGZ207" s="112"/>
      <c r="AHA207" s="112"/>
      <c r="AHB207" s="112"/>
      <c r="AHC207" s="112"/>
      <c r="AHD207" s="112"/>
      <c r="AHE207" s="112"/>
      <c r="AHF207" s="112"/>
      <c r="AHG207" s="112"/>
      <c r="AHH207" s="112"/>
      <c r="AHI207" s="112"/>
      <c r="AHJ207" s="112"/>
      <c r="AHK207" s="112"/>
      <c r="AHL207" s="112"/>
      <c r="AHM207" s="112"/>
      <c r="AHN207" s="112"/>
      <c r="AHO207" s="112"/>
      <c r="AHP207" s="112"/>
      <c r="AHQ207" s="112"/>
      <c r="AHR207" s="112"/>
      <c r="AHS207" s="112"/>
      <c r="AHT207" s="112"/>
      <c r="AHU207" s="112"/>
      <c r="AHV207" s="112"/>
      <c r="AHW207" s="112"/>
      <c r="AHX207" s="112"/>
      <c r="AHY207" s="112"/>
      <c r="AHZ207" s="112"/>
      <c r="AIA207" s="112"/>
      <c r="AIB207" s="112"/>
      <c r="AIC207" s="112"/>
      <c r="AID207" s="112"/>
      <c r="AIE207" s="112"/>
      <c r="AIF207" s="112"/>
      <c r="AIG207" s="112"/>
      <c r="AIH207" s="112"/>
      <c r="AII207" s="112"/>
      <c r="AIJ207" s="112"/>
      <c r="AIK207" s="112"/>
      <c r="AIL207" s="112"/>
      <c r="AIM207" s="112"/>
      <c r="AIN207" s="112"/>
      <c r="AIO207" s="112"/>
      <c r="AIP207" s="112"/>
      <c r="AIQ207" s="112"/>
      <c r="AIR207" s="112"/>
      <c r="AIS207" s="112"/>
      <c r="AIT207" s="112"/>
      <c r="AIU207" s="112"/>
      <c r="AIV207" s="112"/>
      <c r="AIW207" s="112"/>
      <c r="AIX207" s="112"/>
      <c r="AIY207" s="112"/>
      <c r="AIZ207" s="112"/>
      <c r="AJA207" s="112"/>
      <c r="AJB207" s="112"/>
      <c r="AJC207" s="112"/>
      <c r="AJD207" s="112"/>
      <c r="AJE207" s="112"/>
      <c r="AJF207" s="112"/>
      <c r="AJG207" s="112"/>
      <c r="AJH207" s="112"/>
      <c r="AJI207" s="112"/>
      <c r="AJJ207" s="112"/>
      <c r="AJK207" s="112"/>
      <c r="AJL207" s="112"/>
      <c r="AJM207" s="112"/>
      <c r="AJN207" s="112"/>
      <c r="AJO207" s="112"/>
      <c r="AJP207" s="112"/>
      <c r="AJQ207" s="112"/>
      <c r="AJR207" s="112"/>
      <c r="AJS207" s="112"/>
      <c r="AJT207" s="112"/>
      <c r="AJU207" s="112"/>
      <c r="AJV207" s="112"/>
      <c r="AJW207" s="112"/>
      <c r="AJX207" s="112"/>
      <c r="AJY207" s="112"/>
      <c r="AJZ207" s="112"/>
      <c r="AKA207" s="112"/>
      <c r="AKB207" s="112"/>
      <c r="AKC207" s="112"/>
      <c r="AKD207" s="112"/>
      <c r="AKE207" s="112"/>
      <c r="AKF207" s="112"/>
      <c r="AKG207" s="112"/>
      <c r="AKH207" s="112"/>
      <c r="AKI207" s="112"/>
      <c r="AKJ207" s="112"/>
      <c r="AKK207" s="112"/>
      <c r="AKL207" s="112"/>
      <c r="AKM207" s="112"/>
      <c r="AKN207" s="112"/>
      <c r="AKO207" s="112"/>
      <c r="AKP207" s="112"/>
      <c r="AKQ207" s="112"/>
      <c r="AKR207" s="112"/>
      <c r="AKS207" s="112"/>
      <c r="AKT207" s="112"/>
      <c r="AKU207" s="112"/>
      <c r="AKV207" s="112"/>
      <c r="AKW207" s="112"/>
      <c r="AKX207" s="112"/>
      <c r="AKY207" s="112"/>
      <c r="AKZ207" s="112"/>
      <c r="ALA207" s="112"/>
      <c r="ALB207" s="112"/>
      <c r="ALC207" s="112"/>
      <c r="ALD207" s="112"/>
      <c r="ALE207" s="112"/>
      <c r="ALF207" s="112"/>
      <c r="ALG207" s="112"/>
      <c r="ALH207" s="112"/>
      <c r="ALI207" s="112"/>
      <c r="ALJ207" s="112"/>
      <c r="ALK207" s="112"/>
      <c r="ALL207" s="112"/>
      <c r="ALM207" s="112"/>
      <c r="ALN207" s="112"/>
      <c r="ALO207" s="112"/>
      <c r="ALP207" s="112"/>
      <c r="ALQ207" s="112"/>
      <c r="ALR207" s="112"/>
      <c r="ALS207" s="112"/>
      <c r="ALT207" s="112"/>
      <c r="ALU207" s="112"/>
      <c r="ALV207" s="112"/>
      <c r="ALW207" s="112"/>
      <c r="ALX207" s="112"/>
      <c r="ALY207" s="112"/>
      <c r="ALZ207" s="112"/>
      <c r="AMA207" s="112"/>
      <c r="AMB207" s="112"/>
      <c r="AMC207" s="112"/>
      <c r="AMD207" s="112"/>
      <c r="AME207" s="112"/>
      <c r="AMF207" s="112"/>
      <c r="AMG207" s="112"/>
      <c r="AMH207" s="112"/>
      <c r="AMI207" s="112"/>
      <c r="AMJ207" s="112"/>
      <c r="AMK207" s="112"/>
      <c r="AML207" s="112"/>
      <c r="AMM207" s="112"/>
      <c r="AMN207" s="112"/>
      <c r="AMO207" s="112"/>
      <c r="AMP207" s="112"/>
      <c r="AMQ207" s="112"/>
      <c r="AMR207" s="112"/>
      <c r="AMS207" s="112"/>
      <c r="AMT207" s="112"/>
      <c r="AMU207" s="112"/>
      <c r="AMV207" s="112"/>
      <c r="AMW207" s="112"/>
      <c r="AMX207" s="112"/>
      <c r="AMY207" s="112"/>
      <c r="AMZ207" s="112"/>
      <c r="ANA207" s="112"/>
      <c r="ANB207" s="112"/>
      <c r="ANC207" s="112"/>
      <c r="AND207" s="112"/>
      <c r="ANE207" s="112"/>
      <c r="ANF207" s="112"/>
      <c r="ANG207" s="112"/>
      <c r="ANH207" s="112"/>
      <c r="ANI207" s="112"/>
      <c r="ANJ207" s="112"/>
      <c r="ANK207" s="112"/>
      <c r="ANL207" s="112"/>
      <c r="ANM207" s="112"/>
      <c r="ANN207" s="112"/>
      <c r="ANO207" s="112"/>
      <c r="ANP207" s="112"/>
      <c r="ANQ207" s="112"/>
      <c r="ANR207" s="112"/>
      <c r="ANS207" s="112"/>
      <c r="ANT207" s="112"/>
      <c r="ANU207" s="112"/>
      <c r="ANV207" s="112"/>
      <c r="ANW207" s="112"/>
      <c r="ANX207" s="112"/>
      <c r="ANY207" s="112"/>
      <c r="ANZ207" s="112"/>
      <c r="AOA207" s="112"/>
      <c r="AOB207" s="112"/>
      <c r="AOC207" s="112"/>
      <c r="AOD207" s="112"/>
      <c r="AOE207" s="112"/>
      <c r="AOF207" s="112"/>
      <c r="AOG207" s="112"/>
      <c r="AOH207" s="112"/>
      <c r="AOI207" s="112"/>
      <c r="AOJ207" s="112"/>
      <c r="AOK207" s="112"/>
      <c r="AOL207" s="112"/>
      <c r="AOM207" s="112"/>
      <c r="AON207" s="112"/>
      <c r="AOO207" s="112"/>
      <c r="AOP207" s="112"/>
      <c r="AOQ207" s="112"/>
      <c r="AOR207" s="112"/>
      <c r="AOS207" s="112"/>
      <c r="AOT207" s="112"/>
      <c r="AOU207" s="112"/>
      <c r="AOV207" s="112"/>
      <c r="AOW207" s="112"/>
      <c r="AOX207" s="112"/>
      <c r="AOY207" s="112"/>
      <c r="AOZ207" s="112"/>
      <c r="APA207" s="112"/>
      <c r="APB207" s="112"/>
      <c r="APC207" s="112"/>
      <c r="APD207" s="112"/>
      <c r="APE207" s="112"/>
      <c r="APF207" s="112"/>
      <c r="APG207" s="112"/>
      <c r="APH207" s="112"/>
      <c r="API207" s="112"/>
      <c r="APJ207" s="112"/>
      <c r="APK207" s="112"/>
      <c r="APL207" s="112"/>
      <c r="APM207" s="112"/>
      <c r="APN207" s="112"/>
      <c r="APO207" s="112"/>
      <c r="APP207" s="112"/>
      <c r="APQ207" s="112"/>
      <c r="APR207" s="112"/>
      <c r="APS207" s="112"/>
      <c r="APT207" s="112"/>
      <c r="APU207" s="112"/>
      <c r="APV207" s="112"/>
      <c r="APW207" s="112"/>
      <c r="APX207" s="112"/>
      <c r="APY207" s="112"/>
      <c r="APZ207" s="112"/>
      <c r="AQA207" s="112"/>
      <c r="AQB207" s="112"/>
      <c r="AQC207" s="112"/>
      <c r="AQD207" s="112"/>
      <c r="AQE207" s="112"/>
      <c r="AQF207" s="112"/>
      <c r="AQG207" s="112"/>
      <c r="AQH207" s="112"/>
      <c r="AQI207" s="112"/>
      <c r="AQJ207" s="112"/>
      <c r="AQK207" s="112"/>
      <c r="AQL207" s="112"/>
      <c r="AQM207" s="112"/>
      <c r="AQN207" s="112"/>
      <c r="AQO207" s="112"/>
      <c r="AQP207" s="112"/>
      <c r="AQQ207" s="112"/>
      <c r="AQR207" s="112"/>
      <c r="AQS207" s="112"/>
      <c r="AQT207" s="112"/>
      <c r="AQU207" s="112"/>
      <c r="AQV207" s="112"/>
      <c r="AQW207" s="112"/>
      <c r="AQX207" s="112"/>
      <c r="AQY207" s="112"/>
      <c r="AQZ207" s="112"/>
      <c r="ARA207" s="112"/>
      <c r="ARB207" s="112"/>
      <c r="ARC207" s="112"/>
      <c r="ARD207" s="112"/>
      <c r="ARE207" s="112"/>
      <c r="ARF207" s="112"/>
      <c r="ARG207" s="112"/>
      <c r="ARH207" s="112"/>
      <c r="ARI207" s="112"/>
      <c r="ARJ207" s="112"/>
      <c r="ARK207" s="112"/>
      <c r="ARL207" s="112"/>
      <c r="ARM207" s="112"/>
      <c r="ARN207" s="112"/>
      <c r="ARO207" s="112"/>
      <c r="ARP207" s="112"/>
      <c r="ARQ207" s="112"/>
      <c r="ARR207" s="112"/>
      <c r="ARS207" s="112"/>
      <c r="ART207" s="112"/>
      <c r="ARU207" s="112"/>
      <c r="ARV207" s="112"/>
      <c r="ARW207" s="112"/>
      <c r="ARX207" s="112"/>
      <c r="ARY207" s="112"/>
      <c r="ARZ207" s="112"/>
      <c r="ASA207" s="112"/>
      <c r="ASB207" s="112"/>
      <c r="ASC207" s="112"/>
      <c r="ASD207" s="112"/>
      <c r="ASE207" s="112"/>
      <c r="ASF207" s="112"/>
      <c r="ASG207" s="112"/>
      <c r="ASH207" s="112"/>
      <c r="ASI207" s="112"/>
      <c r="ASJ207" s="112"/>
      <c r="ASK207" s="112"/>
      <c r="ASL207" s="112"/>
      <c r="ASM207" s="112"/>
      <c r="ASN207" s="112"/>
      <c r="ASO207" s="112"/>
      <c r="ASP207" s="112"/>
      <c r="ASQ207" s="112"/>
      <c r="ASR207" s="112"/>
      <c r="ASS207" s="112"/>
      <c r="AST207" s="112"/>
      <c r="ASU207" s="112"/>
      <c r="ASV207" s="112"/>
      <c r="ASW207" s="112"/>
      <c r="ASX207" s="112"/>
      <c r="ASY207" s="112"/>
      <c r="ASZ207" s="112"/>
      <c r="ATA207" s="112"/>
      <c r="ATB207" s="112"/>
      <c r="ATC207" s="112"/>
      <c r="ATD207" s="112"/>
      <c r="ATE207" s="112"/>
      <c r="ATF207" s="112"/>
      <c r="ATG207" s="112"/>
      <c r="ATH207" s="112"/>
      <c r="ATI207" s="112"/>
      <c r="ATJ207" s="112"/>
      <c r="ATK207" s="112"/>
      <c r="ATL207" s="112"/>
      <c r="ATM207" s="112"/>
      <c r="ATN207" s="112"/>
      <c r="ATO207" s="112"/>
      <c r="ATP207" s="112"/>
      <c r="ATQ207" s="112"/>
      <c r="ATR207" s="112"/>
      <c r="ATS207" s="112"/>
      <c r="ATT207" s="112"/>
      <c r="ATU207" s="112"/>
      <c r="ATV207" s="112"/>
      <c r="ATW207" s="112"/>
      <c r="ATX207" s="112"/>
      <c r="ATY207" s="112"/>
      <c r="ATZ207" s="112"/>
      <c r="AUA207" s="112"/>
      <c r="AUB207" s="112"/>
      <c r="AUC207" s="112"/>
      <c r="AUD207" s="112"/>
      <c r="AUE207" s="112"/>
      <c r="AUF207" s="112"/>
      <c r="AUG207" s="112"/>
      <c r="AUH207" s="112"/>
      <c r="AUI207" s="112"/>
      <c r="AUJ207" s="112"/>
      <c r="AUK207" s="112"/>
      <c r="AUL207" s="112"/>
      <c r="AUM207" s="112"/>
      <c r="AUN207" s="112"/>
      <c r="AUO207" s="112"/>
      <c r="AUP207" s="112"/>
      <c r="AUQ207" s="112"/>
      <c r="AUR207" s="112"/>
      <c r="AUS207" s="112"/>
      <c r="AUT207" s="112"/>
      <c r="AUU207" s="112"/>
      <c r="AUV207" s="112"/>
      <c r="AUW207" s="112"/>
      <c r="AUX207" s="112"/>
      <c r="AUY207" s="112"/>
      <c r="AUZ207" s="112"/>
      <c r="AVA207" s="112"/>
      <c r="AVB207" s="112"/>
      <c r="AVC207" s="112"/>
      <c r="AVD207" s="112"/>
      <c r="AVE207" s="112"/>
      <c r="AVF207" s="112"/>
      <c r="AVG207" s="112"/>
      <c r="AVH207" s="112"/>
      <c r="AVI207" s="112"/>
      <c r="AVJ207" s="112"/>
      <c r="AVK207" s="112"/>
      <c r="AVL207" s="112"/>
      <c r="AVM207" s="112"/>
      <c r="AVN207" s="112"/>
      <c r="AVO207" s="112"/>
      <c r="AVP207" s="112"/>
      <c r="AVQ207" s="112"/>
      <c r="AVR207" s="112"/>
      <c r="AVS207" s="112"/>
      <c r="AVT207" s="112"/>
      <c r="AVU207" s="112"/>
      <c r="AVV207" s="112"/>
      <c r="AVW207" s="112"/>
      <c r="AVX207" s="112"/>
      <c r="AVY207" s="112"/>
      <c r="AVZ207" s="112"/>
      <c r="AWA207" s="112"/>
      <c r="AWB207" s="112"/>
      <c r="AWC207" s="112"/>
      <c r="AWD207" s="112"/>
      <c r="AWE207" s="112"/>
      <c r="AWF207" s="112"/>
      <c r="AWG207" s="112"/>
      <c r="AWH207" s="112"/>
      <c r="AWI207" s="112"/>
      <c r="AWJ207" s="112"/>
      <c r="AWK207" s="112"/>
      <c r="AWL207" s="112"/>
      <c r="AWM207" s="112"/>
      <c r="AWN207" s="112"/>
      <c r="AWO207" s="112"/>
      <c r="AWP207" s="112"/>
      <c r="AWQ207" s="112"/>
      <c r="AWR207" s="112"/>
      <c r="AWS207" s="112"/>
      <c r="AWT207" s="112"/>
      <c r="AWU207" s="112"/>
      <c r="AWV207" s="112"/>
      <c r="AWW207" s="112"/>
      <c r="AWX207" s="112"/>
      <c r="AWY207" s="112"/>
      <c r="AWZ207" s="112"/>
      <c r="AXA207" s="112"/>
      <c r="AXB207" s="112"/>
      <c r="AXC207" s="112"/>
      <c r="AXD207" s="112"/>
      <c r="AXE207" s="112"/>
      <c r="AXF207" s="112"/>
      <c r="AXG207" s="112"/>
      <c r="AXH207" s="112"/>
      <c r="AXI207" s="112"/>
      <c r="AXJ207" s="112"/>
      <c r="AXK207" s="112"/>
      <c r="AXL207" s="112"/>
      <c r="AXM207" s="112"/>
      <c r="AXN207" s="112"/>
      <c r="AXO207" s="112"/>
      <c r="AXP207" s="112"/>
      <c r="AXQ207" s="112"/>
      <c r="AXR207" s="112"/>
      <c r="AXS207" s="112"/>
      <c r="AXT207" s="112"/>
      <c r="AXU207" s="112"/>
      <c r="AXV207" s="112"/>
      <c r="AXW207" s="112"/>
      <c r="AXX207" s="112"/>
      <c r="AXY207" s="112"/>
      <c r="AXZ207" s="112"/>
      <c r="AYA207" s="112"/>
      <c r="AYB207" s="112"/>
      <c r="AYC207" s="112"/>
      <c r="AYD207" s="112"/>
      <c r="AYE207" s="112"/>
      <c r="AYF207" s="112"/>
      <c r="AYG207" s="112"/>
      <c r="AYH207" s="112"/>
      <c r="AYI207" s="112"/>
      <c r="AYJ207" s="112"/>
      <c r="AYK207" s="112"/>
      <c r="AYL207" s="112"/>
      <c r="AYM207" s="112"/>
      <c r="AYN207" s="112"/>
      <c r="AYO207" s="112"/>
      <c r="AYP207" s="112"/>
      <c r="AYQ207" s="112"/>
      <c r="AYR207" s="112"/>
      <c r="AYS207" s="112"/>
      <c r="AYT207" s="112"/>
      <c r="AYU207" s="112"/>
      <c r="AYV207" s="112"/>
      <c r="AYW207" s="112"/>
      <c r="AYX207" s="112"/>
      <c r="AYY207" s="112"/>
      <c r="AYZ207" s="112"/>
      <c r="AZA207" s="112"/>
      <c r="AZB207" s="112"/>
      <c r="AZC207" s="112"/>
      <c r="AZD207" s="112"/>
      <c r="AZE207" s="112"/>
      <c r="AZF207" s="112"/>
      <c r="AZG207" s="112"/>
      <c r="AZH207" s="112"/>
      <c r="AZI207" s="112"/>
      <c r="AZJ207" s="112"/>
      <c r="AZK207" s="112"/>
      <c r="AZL207" s="112"/>
      <c r="AZM207" s="112"/>
      <c r="AZN207" s="112"/>
      <c r="AZO207" s="112"/>
      <c r="AZP207" s="112"/>
      <c r="AZQ207" s="112"/>
      <c r="AZR207" s="112"/>
      <c r="AZS207" s="112"/>
      <c r="AZT207" s="112"/>
      <c r="AZU207" s="112"/>
      <c r="AZV207" s="112"/>
      <c r="AZW207" s="112"/>
      <c r="AZX207" s="112"/>
      <c r="AZY207" s="112"/>
      <c r="AZZ207" s="112"/>
      <c r="BAA207" s="112"/>
      <c r="BAB207" s="112"/>
      <c r="BAC207" s="112"/>
      <c r="BAD207" s="112"/>
      <c r="BAE207" s="112"/>
      <c r="BAF207" s="112"/>
      <c r="BAG207" s="112"/>
      <c r="BAH207" s="112"/>
      <c r="BAI207" s="112"/>
      <c r="BAJ207" s="112"/>
      <c r="BAK207" s="112"/>
      <c r="BAL207" s="112"/>
      <c r="BAM207" s="112"/>
      <c r="BAN207" s="112"/>
      <c r="BAO207" s="112"/>
      <c r="BAP207" s="112"/>
      <c r="BAQ207" s="112"/>
      <c r="BAR207" s="112"/>
      <c r="BAS207" s="112"/>
      <c r="BAT207" s="112"/>
      <c r="BAU207" s="112"/>
      <c r="BAV207" s="112"/>
      <c r="BAW207" s="112"/>
      <c r="BAX207" s="112"/>
      <c r="BAY207" s="112"/>
      <c r="BAZ207" s="112"/>
      <c r="BBA207" s="112"/>
      <c r="BBB207" s="112"/>
      <c r="BBC207" s="112"/>
      <c r="BBD207" s="112"/>
      <c r="BBE207" s="112"/>
      <c r="BBF207" s="112"/>
      <c r="BBG207" s="112"/>
      <c r="BBH207" s="112"/>
      <c r="BBI207" s="112"/>
      <c r="BBJ207" s="112"/>
      <c r="BBK207" s="112"/>
      <c r="BBL207" s="112"/>
      <c r="BBM207" s="112"/>
      <c r="BBN207" s="112"/>
      <c r="BBO207" s="112"/>
      <c r="BBP207" s="112"/>
      <c r="BBQ207" s="112"/>
      <c r="BBR207" s="112"/>
      <c r="BBS207" s="112"/>
      <c r="BBT207" s="112"/>
      <c r="BBU207" s="112"/>
      <c r="BBV207" s="112"/>
      <c r="BBW207" s="112"/>
      <c r="BBX207" s="112"/>
      <c r="BBY207" s="112"/>
      <c r="BBZ207" s="112"/>
      <c r="BCA207" s="112"/>
      <c r="BCB207" s="112"/>
      <c r="BCC207" s="112"/>
      <c r="BCD207" s="112"/>
      <c r="BCE207" s="112"/>
      <c r="BCF207" s="112"/>
      <c r="BCG207" s="112"/>
      <c r="BCH207" s="112"/>
      <c r="BCI207" s="112"/>
      <c r="BCJ207" s="112"/>
      <c r="BCK207" s="112"/>
      <c r="BCL207" s="112"/>
      <c r="BCM207" s="112"/>
      <c r="BCN207" s="112"/>
      <c r="BCO207" s="112"/>
      <c r="BCP207" s="112"/>
      <c r="BCQ207" s="112"/>
      <c r="BCR207" s="112"/>
      <c r="BCS207" s="112"/>
      <c r="BCT207" s="112"/>
      <c r="BCU207" s="112"/>
      <c r="BCV207" s="112"/>
      <c r="BCW207" s="112"/>
      <c r="BCX207" s="112"/>
      <c r="BCY207" s="112"/>
      <c r="BCZ207" s="112"/>
      <c r="BDA207" s="112"/>
      <c r="BDB207" s="112"/>
      <c r="BDC207" s="112"/>
      <c r="BDD207" s="112"/>
      <c r="BDE207" s="112"/>
      <c r="BDF207" s="112"/>
      <c r="BDG207" s="112"/>
      <c r="BDH207" s="112"/>
      <c r="BDI207" s="112"/>
      <c r="BDJ207" s="112"/>
      <c r="BDK207" s="112"/>
      <c r="BDL207" s="112"/>
      <c r="BDM207" s="112"/>
      <c r="BDN207" s="112"/>
      <c r="BDO207" s="112"/>
      <c r="BDP207" s="112"/>
      <c r="BDQ207" s="112"/>
      <c r="BDR207" s="112"/>
      <c r="BDS207" s="112"/>
      <c r="BDT207" s="112"/>
      <c r="BDU207" s="112"/>
      <c r="BDV207" s="112"/>
      <c r="BDW207" s="112"/>
      <c r="BDX207" s="112"/>
      <c r="BDY207" s="112"/>
      <c r="BDZ207" s="112"/>
      <c r="BEA207" s="112"/>
      <c r="BEB207" s="112"/>
      <c r="BEC207" s="112"/>
      <c r="BED207" s="112"/>
      <c r="BEE207" s="112"/>
      <c r="BEF207" s="112"/>
      <c r="BEG207" s="112"/>
      <c r="BEH207" s="112"/>
      <c r="BEI207" s="112"/>
      <c r="BEJ207" s="112"/>
      <c r="BEK207" s="112"/>
      <c r="BEL207" s="112"/>
      <c r="BEM207" s="112"/>
      <c r="BEN207" s="112"/>
      <c r="BEO207" s="112"/>
      <c r="BEP207" s="112"/>
      <c r="BEQ207" s="112"/>
      <c r="BER207" s="112"/>
      <c r="BES207" s="112"/>
      <c r="BET207" s="112"/>
      <c r="BEU207" s="112"/>
      <c r="BEV207" s="112"/>
      <c r="BEW207" s="112"/>
      <c r="BEX207" s="112"/>
      <c r="BEY207" s="112"/>
      <c r="BEZ207" s="112"/>
      <c r="BFA207" s="112"/>
      <c r="BFB207" s="112"/>
      <c r="BFC207" s="112"/>
      <c r="BFD207" s="112"/>
      <c r="BFE207" s="112"/>
      <c r="BFF207" s="112"/>
      <c r="BFG207" s="112"/>
      <c r="BFH207" s="112"/>
      <c r="BFI207" s="112"/>
      <c r="BFJ207" s="112"/>
      <c r="BFK207" s="112"/>
      <c r="BFL207" s="112"/>
      <c r="BFM207" s="112"/>
      <c r="BFN207" s="112"/>
      <c r="BFO207" s="112"/>
      <c r="BFP207" s="112"/>
      <c r="BFQ207" s="112"/>
      <c r="BFR207" s="112"/>
      <c r="BFS207" s="112"/>
      <c r="BFT207" s="112"/>
      <c r="BFU207" s="112"/>
      <c r="BFV207" s="112"/>
      <c r="BFW207" s="112"/>
      <c r="BFX207" s="112"/>
      <c r="BFY207" s="112"/>
      <c r="BFZ207" s="112"/>
      <c r="BGA207" s="112"/>
      <c r="BGB207" s="112"/>
      <c r="BGC207" s="112"/>
      <c r="BGD207" s="112"/>
      <c r="BGE207" s="112"/>
      <c r="BGF207" s="112"/>
      <c r="BGG207" s="112"/>
      <c r="BGH207" s="112"/>
      <c r="BGI207" s="112"/>
      <c r="BGJ207" s="112"/>
      <c r="BGK207" s="112"/>
      <c r="BGL207" s="112"/>
      <c r="BGM207" s="112"/>
      <c r="BGN207" s="112"/>
      <c r="BGO207" s="112"/>
      <c r="BGP207" s="112"/>
      <c r="BGQ207" s="112"/>
      <c r="BGR207" s="112"/>
      <c r="BGS207" s="112"/>
      <c r="BGT207" s="112"/>
      <c r="BGU207" s="112"/>
      <c r="BGV207" s="112"/>
      <c r="BGW207" s="112"/>
      <c r="BGX207" s="112"/>
      <c r="BGY207" s="112"/>
      <c r="BGZ207" s="112"/>
      <c r="BHA207" s="112"/>
      <c r="BHB207" s="112"/>
      <c r="BHC207" s="112"/>
      <c r="BHD207" s="112"/>
      <c r="BHE207" s="112"/>
      <c r="BHF207" s="112"/>
      <c r="BHG207" s="112"/>
      <c r="BHH207" s="112"/>
      <c r="BHI207" s="112"/>
      <c r="BHJ207" s="112"/>
      <c r="BHK207" s="112"/>
      <c r="BHL207" s="112"/>
      <c r="BHM207" s="112"/>
      <c r="BHN207" s="112"/>
      <c r="BHO207" s="112"/>
      <c r="BHP207" s="112"/>
      <c r="BHQ207" s="112"/>
      <c r="BHR207" s="112"/>
      <c r="BHS207" s="112"/>
      <c r="BHT207" s="112"/>
      <c r="BHU207" s="112"/>
      <c r="BHV207" s="112"/>
      <c r="BHW207" s="112"/>
      <c r="BHX207" s="112"/>
      <c r="BHY207" s="112"/>
      <c r="BHZ207" s="112"/>
      <c r="BIA207" s="112"/>
      <c r="BIB207" s="112"/>
      <c r="BIC207" s="112"/>
      <c r="BID207" s="112"/>
      <c r="BIE207" s="112"/>
      <c r="BIF207" s="112"/>
      <c r="BIG207" s="112"/>
      <c r="BIH207" s="112"/>
      <c r="BII207" s="112"/>
      <c r="BIJ207" s="112"/>
      <c r="BIK207" s="112"/>
      <c r="BIL207" s="112"/>
      <c r="BIM207" s="112"/>
      <c r="BIN207" s="112"/>
      <c r="BIO207" s="112"/>
      <c r="BIP207" s="112"/>
      <c r="BIQ207" s="112"/>
      <c r="BIR207" s="112"/>
      <c r="BIS207" s="112"/>
      <c r="BIT207" s="112"/>
      <c r="BIU207" s="112"/>
      <c r="BIV207" s="112"/>
      <c r="BIW207" s="112"/>
      <c r="BIX207" s="112"/>
      <c r="BIY207" s="112"/>
      <c r="BIZ207" s="112"/>
      <c r="BJA207" s="112"/>
      <c r="BJB207" s="112"/>
      <c r="BJC207" s="112"/>
      <c r="BJD207" s="112"/>
      <c r="BJE207" s="112"/>
      <c r="BJF207" s="112"/>
      <c r="BJG207" s="112"/>
      <c r="BJH207" s="112"/>
      <c r="BJI207" s="112"/>
      <c r="BJJ207" s="112"/>
      <c r="BJK207" s="112"/>
      <c r="BJL207" s="112"/>
      <c r="BJM207" s="112"/>
      <c r="BJN207" s="112"/>
      <c r="BJO207" s="112"/>
      <c r="BJP207" s="112"/>
      <c r="BJQ207" s="112"/>
      <c r="BJR207" s="112"/>
      <c r="BJS207" s="112"/>
      <c r="BJT207" s="112"/>
      <c r="BJU207" s="112"/>
      <c r="BJV207" s="112"/>
      <c r="BJW207" s="112"/>
      <c r="BJX207" s="112"/>
      <c r="BJY207" s="112"/>
      <c r="BJZ207" s="112"/>
      <c r="BKA207" s="112"/>
      <c r="BKB207" s="112"/>
      <c r="BKC207" s="112"/>
      <c r="BKD207" s="112"/>
      <c r="BKE207" s="112"/>
      <c r="BKF207" s="112"/>
      <c r="BKG207" s="112"/>
      <c r="BKH207" s="112"/>
      <c r="BKI207" s="112"/>
      <c r="BKJ207" s="112"/>
      <c r="BKK207" s="112"/>
      <c r="BKL207" s="112"/>
      <c r="BKM207" s="112"/>
      <c r="BKN207" s="112"/>
      <c r="BKO207" s="112"/>
      <c r="BKP207" s="112"/>
      <c r="BKQ207" s="112"/>
      <c r="BKR207" s="112"/>
      <c r="BKS207" s="112"/>
      <c r="BKT207" s="112"/>
      <c r="BKU207" s="112"/>
      <c r="BKV207" s="112"/>
      <c r="BKW207" s="112"/>
      <c r="BKX207" s="112"/>
      <c r="BKY207" s="112"/>
      <c r="BKZ207" s="112"/>
      <c r="BLA207" s="112"/>
      <c r="BLB207" s="112"/>
      <c r="BLC207" s="112"/>
      <c r="BLD207" s="112"/>
      <c r="BLE207" s="112"/>
      <c r="BLF207" s="112"/>
      <c r="BLG207" s="112"/>
      <c r="BLH207" s="112"/>
      <c r="BLI207" s="112"/>
      <c r="BLJ207" s="112"/>
      <c r="BLK207" s="112"/>
      <c r="BLL207" s="112"/>
      <c r="BLM207" s="112"/>
      <c r="BLN207" s="112"/>
      <c r="BLO207" s="112"/>
      <c r="BLP207" s="112"/>
      <c r="BLQ207" s="112"/>
      <c r="BLR207" s="112"/>
      <c r="BLS207" s="112"/>
      <c r="BLT207" s="112"/>
      <c r="BLU207" s="112"/>
      <c r="BLV207" s="112"/>
      <c r="BLW207" s="112"/>
      <c r="BLX207" s="112"/>
      <c r="BLY207" s="112"/>
      <c r="BLZ207" s="112"/>
      <c r="BMA207" s="112"/>
      <c r="BMB207" s="112"/>
      <c r="BMC207" s="112"/>
      <c r="BMD207" s="112"/>
      <c r="BME207" s="112"/>
      <c r="BMF207" s="112"/>
      <c r="BMG207" s="112"/>
      <c r="BMH207" s="112"/>
      <c r="BMI207" s="112"/>
      <c r="BMJ207" s="112"/>
      <c r="BMK207" s="112"/>
      <c r="BML207" s="112"/>
      <c r="BMM207" s="112"/>
      <c r="BMN207" s="112"/>
      <c r="BMO207" s="112"/>
      <c r="BMP207" s="112"/>
      <c r="BMQ207" s="112"/>
      <c r="BMR207" s="112"/>
      <c r="BMS207" s="112"/>
      <c r="BMT207" s="112"/>
      <c r="BMU207" s="112"/>
      <c r="BMV207" s="112"/>
      <c r="BMW207" s="112"/>
      <c r="BMX207" s="112"/>
      <c r="BMY207" s="112"/>
      <c r="BMZ207" s="112"/>
      <c r="BNA207" s="112"/>
      <c r="BNB207" s="112"/>
      <c r="BNC207" s="112"/>
      <c r="BND207" s="112"/>
      <c r="BNE207" s="112"/>
      <c r="BNF207" s="112"/>
      <c r="BNG207" s="112"/>
      <c r="BNH207" s="112"/>
      <c r="BNI207" s="112"/>
      <c r="BNJ207" s="112"/>
      <c r="BNK207" s="112"/>
      <c r="BNL207" s="112"/>
      <c r="BNM207" s="112"/>
      <c r="BNN207" s="112"/>
      <c r="BNO207" s="112"/>
      <c r="BNP207" s="112"/>
      <c r="BNQ207" s="112"/>
      <c r="BNR207" s="112"/>
      <c r="BNS207" s="112"/>
      <c r="BNT207" s="112"/>
      <c r="BNU207" s="112"/>
      <c r="BNV207" s="112"/>
      <c r="BNW207" s="112"/>
      <c r="BNX207" s="112"/>
      <c r="BNY207" s="112"/>
      <c r="BNZ207" s="112"/>
      <c r="BOA207" s="112"/>
      <c r="BOB207" s="112"/>
      <c r="BOC207" s="112"/>
      <c r="BOD207" s="112"/>
      <c r="BOE207" s="112"/>
      <c r="BOF207" s="112"/>
      <c r="BOG207" s="112"/>
      <c r="BOH207" s="112"/>
      <c r="BOI207" s="112"/>
      <c r="BOJ207" s="112"/>
      <c r="BOK207" s="112"/>
      <c r="BOL207" s="112"/>
      <c r="BOM207" s="112"/>
      <c r="BON207" s="112"/>
      <c r="BOO207" s="112"/>
      <c r="BOP207" s="112"/>
      <c r="BOQ207" s="112"/>
      <c r="BOR207" s="112"/>
      <c r="BOS207" s="112"/>
      <c r="BOT207" s="112"/>
      <c r="BOU207" s="112"/>
      <c r="BOV207" s="112"/>
      <c r="BOW207" s="112"/>
      <c r="BOX207" s="112"/>
      <c r="BOY207" s="112"/>
      <c r="BOZ207" s="112"/>
      <c r="BPA207" s="112"/>
      <c r="BPB207" s="112"/>
      <c r="BPC207" s="112"/>
      <c r="BPD207" s="112"/>
      <c r="BPE207" s="112"/>
      <c r="BPF207" s="112"/>
      <c r="BPG207" s="112"/>
      <c r="BPH207" s="112"/>
      <c r="BPI207" s="112"/>
      <c r="BPJ207" s="112"/>
      <c r="BPK207" s="112"/>
      <c r="BPL207" s="112"/>
      <c r="BPM207" s="112"/>
      <c r="BPN207" s="112"/>
      <c r="BPO207" s="112"/>
      <c r="BPP207" s="112"/>
      <c r="BPQ207" s="112"/>
      <c r="BPR207" s="112"/>
      <c r="BPS207" s="112"/>
      <c r="BPT207" s="112"/>
      <c r="BPU207" s="112"/>
      <c r="BPV207" s="112"/>
      <c r="BPW207" s="112"/>
      <c r="BPX207" s="112"/>
      <c r="BPY207" s="112"/>
      <c r="BPZ207" s="112"/>
      <c r="BQA207" s="112"/>
      <c r="BQB207" s="112"/>
      <c r="BQC207" s="112"/>
      <c r="BQD207" s="112"/>
      <c r="BQE207" s="112"/>
      <c r="BQF207" s="112"/>
      <c r="BQG207" s="112"/>
      <c r="BQH207" s="112"/>
      <c r="BQI207" s="112"/>
      <c r="BQJ207" s="112"/>
      <c r="BQK207" s="112"/>
      <c r="BQL207" s="112"/>
      <c r="BQM207" s="112"/>
      <c r="BQN207" s="112"/>
      <c r="BQO207" s="112"/>
      <c r="BQP207" s="112"/>
      <c r="BQQ207" s="112"/>
      <c r="BQR207" s="112"/>
      <c r="BQS207" s="112"/>
      <c r="BQT207" s="112"/>
      <c r="BQU207" s="112"/>
      <c r="BQV207" s="112"/>
      <c r="BQW207" s="112"/>
      <c r="BQX207" s="112"/>
      <c r="BQY207" s="112"/>
      <c r="BQZ207" s="112"/>
      <c r="BRA207" s="112"/>
      <c r="BRB207" s="112"/>
      <c r="BRC207" s="112"/>
      <c r="BRD207" s="112"/>
      <c r="BRE207" s="112"/>
      <c r="BRF207" s="112"/>
      <c r="BRG207" s="112"/>
      <c r="BRH207" s="112"/>
      <c r="BRI207" s="112"/>
      <c r="BRJ207" s="112"/>
      <c r="BRK207" s="112"/>
      <c r="BRL207" s="112"/>
      <c r="BRM207" s="112"/>
      <c r="BRN207" s="112"/>
      <c r="BRO207" s="112"/>
      <c r="BRP207" s="112"/>
      <c r="BRQ207" s="112"/>
      <c r="BRR207" s="112"/>
      <c r="BRS207" s="112"/>
      <c r="BRT207" s="112"/>
      <c r="BRU207" s="112"/>
      <c r="BRV207" s="112"/>
      <c r="BRW207" s="112"/>
      <c r="BRX207" s="112"/>
      <c r="BRY207" s="112"/>
      <c r="BRZ207" s="112"/>
      <c r="BSA207" s="112"/>
      <c r="BSB207" s="112"/>
      <c r="BSC207" s="112"/>
      <c r="BSD207" s="112"/>
      <c r="BSE207" s="112"/>
      <c r="BSF207" s="112"/>
      <c r="BSG207" s="112"/>
      <c r="BSH207" s="112"/>
      <c r="BSI207" s="112"/>
      <c r="BSJ207" s="112"/>
      <c r="BSK207" s="112"/>
      <c r="BSL207" s="112"/>
      <c r="BSM207" s="112"/>
      <c r="BSN207" s="112"/>
      <c r="BSO207" s="112"/>
      <c r="BSP207" s="112"/>
      <c r="BSQ207" s="112"/>
      <c r="BSR207" s="112"/>
      <c r="BSS207" s="112"/>
      <c r="BST207" s="112"/>
      <c r="BSU207" s="112"/>
      <c r="BSV207" s="112"/>
      <c r="BSW207" s="112"/>
      <c r="BSX207" s="112"/>
      <c r="BSY207" s="112"/>
      <c r="BSZ207" s="112"/>
      <c r="BTA207" s="112"/>
      <c r="BTB207" s="112"/>
      <c r="BTC207" s="112"/>
      <c r="BTD207" s="112"/>
      <c r="BTE207" s="112"/>
      <c r="BTF207" s="112"/>
      <c r="BTG207" s="112"/>
      <c r="BTH207" s="112"/>
      <c r="BTI207" s="112"/>
      <c r="BTJ207" s="112"/>
      <c r="BTK207" s="112"/>
      <c r="BTL207" s="112"/>
      <c r="BTM207" s="112"/>
      <c r="BTN207" s="112"/>
      <c r="BTO207" s="112"/>
      <c r="BTP207" s="112"/>
      <c r="BTQ207" s="112"/>
      <c r="BTR207" s="112"/>
      <c r="BTS207" s="112"/>
      <c r="BTT207" s="112"/>
      <c r="BTU207" s="112"/>
      <c r="BTV207" s="112"/>
      <c r="BTW207" s="112"/>
      <c r="BTX207" s="112"/>
      <c r="BTY207" s="112"/>
      <c r="BTZ207" s="112"/>
      <c r="BUA207" s="112"/>
      <c r="BUB207" s="112"/>
      <c r="BUC207" s="112"/>
      <c r="BUD207" s="112"/>
      <c r="BUE207" s="112"/>
      <c r="BUF207" s="112"/>
      <c r="BUG207" s="112"/>
      <c r="BUH207" s="112"/>
      <c r="BUI207" s="112"/>
      <c r="BUJ207" s="112"/>
      <c r="BUK207" s="112"/>
      <c r="BUL207" s="112"/>
      <c r="BUM207" s="112"/>
      <c r="BUN207" s="112"/>
      <c r="BUO207" s="112"/>
      <c r="BUP207" s="112"/>
      <c r="BUQ207" s="112"/>
      <c r="BUR207" s="112"/>
      <c r="BUS207" s="112"/>
      <c r="BUT207" s="112"/>
      <c r="BUU207" s="112"/>
      <c r="BUV207" s="112"/>
      <c r="BUW207" s="112"/>
      <c r="BUX207" s="112"/>
      <c r="BUY207" s="112"/>
      <c r="BUZ207" s="112"/>
      <c r="BVA207" s="112"/>
      <c r="BVB207" s="112"/>
      <c r="BVC207" s="112"/>
      <c r="BVD207" s="112"/>
      <c r="BVE207" s="112"/>
      <c r="BVF207" s="112"/>
      <c r="BVG207" s="112"/>
      <c r="BVH207" s="112"/>
      <c r="BVI207" s="112"/>
      <c r="BVJ207" s="112"/>
      <c r="BVK207" s="112"/>
      <c r="BVL207" s="112"/>
      <c r="BVM207" s="112"/>
      <c r="BVN207" s="112"/>
      <c r="BVO207" s="112"/>
      <c r="BVP207" s="112"/>
      <c r="BVQ207" s="112"/>
      <c r="BVR207" s="112"/>
      <c r="BVS207" s="112"/>
      <c r="BVT207" s="112"/>
      <c r="BVU207" s="112"/>
      <c r="BVV207" s="112"/>
      <c r="BVW207" s="112"/>
      <c r="BVX207" s="112"/>
      <c r="BVY207" s="112"/>
      <c r="BVZ207" s="112"/>
      <c r="BWA207" s="112"/>
      <c r="BWB207" s="112"/>
      <c r="BWC207" s="112"/>
      <c r="BWD207" s="112"/>
      <c r="BWE207" s="112"/>
      <c r="BWF207" s="112"/>
      <c r="BWG207" s="112"/>
      <c r="BWH207" s="112"/>
      <c r="BWI207" s="112"/>
      <c r="BWJ207" s="112"/>
      <c r="BWK207" s="112"/>
      <c r="BWL207" s="112"/>
      <c r="BWM207" s="112"/>
      <c r="BWN207" s="112"/>
      <c r="BWO207" s="112"/>
      <c r="BWP207" s="112"/>
      <c r="BWQ207" s="112"/>
      <c r="BWR207" s="112"/>
      <c r="BWS207" s="112"/>
      <c r="BWT207" s="112"/>
      <c r="BWU207" s="112"/>
      <c r="BWV207" s="112"/>
      <c r="BWW207" s="112"/>
      <c r="BWX207" s="112"/>
      <c r="BWY207" s="112"/>
      <c r="BWZ207" s="112"/>
      <c r="BXA207" s="112"/>
      <c r="BXB207" s="112"/>
      <c r="BXC207" s="112"/>
      <c r="BXD207" s="112"/>
      <c r="BXE207" s="112"/>
      <c r="BXF207" s="112"/>
      <c r="BXG207" s="112"/>
      <c r="BXH207" s="112"/>
      <c r="BXI207" s="112"/>
      <c r="BXJ207" s="112"/>
      <c r="BXK207" s="112"/>
      <c r="BXL207" s="112"/>
      <c r="BXM207" s="112"/>
      <c r="BXN207" s="112"/>
      <c r="BXO207" s="112"/>
      <c r="BXP207" s="112"/>
      <c r="BXQ207" s="112"/>
      <c r="BXR207" s="112"/>
      <c r="BXS207" s="112"/>
      <c r="BXT207" s="112"/>
      <c r="BXU207" s="112"/>
      <c r="BXV207" s="112"/>
      <c r="BXW207" s="112"/>
      <c r="BXX207" s="112"/>
      <c r="BXY207" s="112"/>
      <c r="BXZ207" s="112"/>
      <c r="BYA207" s="112"/>
      <c r="BYB207" s="112"/>
      <c r="BYC207" s="112"/>
      <c r="BYD207" s="112"/>
      <c r="BYE207" s="112"/>
      <c r="BYF207" s="112"/>
      <c r="BYG207" s="112"/>
      <c r="BYH207" s="112"/>
      <c r="BYI207" s="112"/>
      <c r="BYJ207" s="112"/>
      <c r="BYK207" s="112"/>
      <c r="BYL207" s="112"/>
      <c r="BYM207" s="112"/>
      <c r="BYN207" s="112"/>
      <c r="BYO207" s="112"/>
      <c r="BYP207" s="112"/>
      <c r="BYQ207" s="112"/>
      <c r="BYR207" s="112"/>
      <c r="BYS207" s="112"/>
      <c r="BYT207" s="112"/>
      <c r="BYU207" s="112"/>
      <c r="BYV207" s="112"/>
      <c r="BYW207" s="112"/>
      <c r="BYX207" s="112"/>
      <c r="BYY207" s="112"/>
      <c r="BYZ207" s="112"/>
      <c r="BZA207" s="112"/>
      <c r="BZB207" s="112"/>
      <c r="BZC207" s="112"/>
      <c r="BZD207" s="112"/>
      <c r="BZE207" s="112"/>
      <c r="BZF207" s="112"/>
      <c r="BZG207" s="112"/>
      <c r="BZH207" s="112"/>
      <c r="BZI207" s="112"/>
      <c r="BZJ207" s="112"/>
      <c r="BZK207" s="112"/>
      <c r="BZL207" s="112"/>
      <c r="BZM207" s="112"/>
      <c r="BZN207" s="112"/>
      <c r="BZO207" s="112"/>
      <c r="BZP207" s="112"/>
      <c r="BZQ207" s="112"/>
      <c r="BZR207" s="112"/>
      <c r="BZS207" s="112"/>
      <c r="BZT207" s="112"/>
      <c r="BZU207" s="112"/>
      <c r="BZV207" s="112"/>
      <c r="BZW207" s="112"/>
      <c r="BZX207" s="112"/>
      <c r="BZY207" s="112"/>
      <c r="BZZ207" s="112"/>
      <c r="CAA207" s="112"/>
      <c r="CAB207" s="112"/>
      <c r="CAC207" s="112"/>
      <c r="CAD207" s="112"/>
      <c r="CAE207" s="112"/>
      <c r="CAF207" s="112"/>
      <c r="CAG207" s="112"/>
      <c r="CAH207" s="112"/>
      <c r="CAI207" s="112"/>
      <c r="CAJ207" s="112"/>
      <c r="CAK207" s="112"/>
      <c r="CAL207" s="112"/>
      <c r="CAM207" s="112"/>
      <c r="CAN207" s="112"/>
      <c r="CAO207" s="112"/>
      <c r="CAP207" s="112"/>
      <c r="CAQ207" s="112"/>
      <c r="CAR207" s="112"/>
      <c r="CAS207" s="112"/>
      <c r="CAT207" s="112"/>
      <c r="CAU207" s="112"/>
      <c r="CAV207" s="112"/>
      <c r="CAW207" s="112"/>
      <c r="CAX207" s="112"/>
      <c r="CAY207" s="112"/>
      <c r="CAZ207" s="112"/>
      <c r="CBA207" s="112"/>
      <c r="CBB207" s="112"/>
      <c r="CBC207" s="112"/>
      <c r="CBD207" s="112"/>
      <c r="CBE207" s="112"/>
      <c r="CBF207" s="112"/>
      <c r="CBG207" s="112"/>
      <c r="CBH207" s="112"/>
      <c r="CBI207" s="112"/>
      <c r="CBJ207" s="112"/>
      <c r="CBK207" s="112"/>
      <c r="CBL207" s="112"/>
      <c r="CBM207" s="112"/>
      <c r="CBN207" s="112"/>
      <c r="CBO207" s="112"/>
      <c r="CBP207" s="112"/>
      <c r="CBQ207" s="112"/>
      <c r="CBR207" s="112"/>
      <c r="CBS207" s="112"/>
      <c r="CBT207" s="112"/>
      <c r="CBU207" s="112"/>
      <c r="CBV207" s="112"/>
      <c r="CBW207" s="112"/>
      <c r="CBX207" s="112"/>
      <c r="CBY207" s="112"/>
      <c r="CBZ207" s="112"/>
      <c r="CCA207" s="112"/>
      <c r="CCB207" s="112"/>
      <c r="CCC207" s="112"/>
      <c r="CCD207" s="112"/>
      <c r="CCE207" s="112"/>
      <c r="CCF207" s="112"/>
      <c r="CCG207" s="112"/>
      <c r="CCH207" s="112"/>
      <c r="CCI207" s="112"/>
      <c r="CCJ207" s="112"/>
      <c r="CCK207" s="112"/>
      <c r="CCL207" s="112"/>
      <c r="CCM207" s="112"/>
      <c r="CCN207" s="112"/>
      <c r="CCO207" s="112"/>
      <c r="CCP207" s="112"/>
      <c r="CCQ207" s="112"/>
      <c r="CCR207" s="112"/>
      <c r="CCS207" s="112"/>
      <c r="CCT207" s="112"/>
      <c r="CCU207" s="112"/>
      <c r="CCV207" s="112"/>
      <c r="CCW207" s="112"/>
      <c r="CCX207" s="112"/>
      <c r="CCY207" s="112"/>
      <c r="CCZ207" s="112"/>
      <c r="CDA207" s="112"/>
      <c r="CDB207" s="112"/>
      <c r="CDC207" s="112"/>
      <c r="CDD207" s="112"/>
      <c r="CDE207" s="112"/>
      <c r="CDF207" s="112"/>
      <c r="CDG207" s="112"/>
      <c r="CDH207" s="112"/>
      <c r="CDI207" s="112"/>
      <c r="CDJ207" s="112"/>
      <c r="CDK207" s="112"/>
      <c r="CDL207" s="112"/>
      <c r="CDM207" s="112"/>
      <c r="CDN207" s="112"/>
      <c r="CDO207" s="112"/>
      <c r="CDP207" s="112"/>
      <c r="CDQ207" s="112"/>
      <c r="CDR207" s="112"/>
      <c r="CDS207" s="112"/>
      <c r="CDT207" s="112"/>
      <c r="CDU207" s="112"/>
      <c r="CDV207" s="112"/>
      <c r="CDW207" s="112"/>
      <c r="CDX207" s="112"/>
      <c r="CDY207" s="112"/>
      <c r="CDZ207" s="112"/>
      <c r="CEA207" s="112"/>
      <c r="CEB207" s="112"/>
      <c r="CEC207" s="112"/>
      <c r="CED207" s="112"/>
      <c r="CEE207" s="112"/>
      <c r="CEF207" s="112"/>
      <c r="CEG207" s="112"/>
      <c r="CEH207" s="112"/>
      <c r="CEI207" s="112"/>
      <c r="CEJ207" s="112"/>
      <c r="CEK207" s="112"/>
      <c r="CEL207" s="112"/>
      <c r="CEM207" s="112"/>
      <c r="CEN207" s="112"/>
      <c r="CEO207" s="112"/>
      <c r="CEP207" s="112"/>
      <c r="CEQ207" s="112"/>
      <c r="CER207" s="112"/>
      <c r="CES207" s="112"/>
      <c r="CET207" s="112"/>
      <c r="CEU207" s="112"/>
      <c r="CEV207" s="112"/>
      <c r="CEW207" s="112"/>
      <c r="CEX207" s="112"/>
      <c r="CEY207" s="112"/>
      <c r="CEZ207" s="112"/>
      <c r="CFA207" s="112"/>
      <c r="CFB207" s="112"/>
      <c r="CFC207" s="112"/>
      <c r="CFD207" s="112"/>
      <c r="CFE207" s="112"/>
      <c r="CFF207" s="112"/>
      <c r="CFG207" s="112"/>
      <c r="CFH207" s="112"/>
      <c r="CFI207" s="112"/>
      <c r="CFJ207" s="112"/>
      <c r="CFK207" s="112"/>
      <c r="CFL207" s="112"/>
      <c r="CFM207" s="112"/>
      <c r="CFN207" s="112"/>
      <c r="CFO207" s="112"/>
      <c r="CFP207" s="112"/>
      <c r="CFQ207" s="112"/>
      <c r="CFR207" s="112"/>
      <c r="CFS207" s="112"/>
      <c r="CFT207" s="112"/>
      <c r="CFU207" s="112"/>
      <c r="CFV207" s="112"/>
      <c r="CFW207" s="112"/>
      <c r="CFX207" s="112"/>
      <c r="CFY207" s="112"/>
      <c r="CFZ207" s="112"/>
      <c r="CGA207" s="112"/>
      <c r="CGB207" s="112"/>
      <c r="CGC207" s="112"/>
      <c r="CGD207" s="112"/>
      <c r="CGE207" s="112"/>
      <c r="CGF207" s="112"/>
      <c r="CGG207" s="112"/>
      <c r="CGH207" s="112"/>
      <c r="CGI207" s="112"/>
      <c r="CGJ207" s="112"/>
      <c r="CGK207" s="112"/>
      <c r="CGL207" s="112"/>
      <c r="CGM207" s="112"/>
      <c r="CGN207" s="112"/>
      <c r="CGO207" s="112"/>
      <c r="CGP207" s="112"/>
      <c r="CGQ207" s="112"/>
      <c r="CGR207" s="112"/>
      <c r="CGS207" s="112"/>
      <c r="CGT207" s="112"/>
      <c r="CGU207" s="112"/>
      <c r="CGV207" s="112"/>
      <c r="CGW207" s="112"/>
      <c r="CGX207" s="112"/>
      <c r="CGY207" s="112"/>
      <c r="CGZ207" s="112"/>
      <c r="CHA207" s="112"/>
      <c r="CHB207" s="112"/>
      <c r="CHC207" s="112"/>
      <c r="CHD207" s="112"/>
      <c r="CHE207" s="112"/>
      <c r="CHF207" s="112"/>
      <c r="CHG207" s="112"/>
      <c r="CHH207" s="112"/>
      <c r="CHI207" s="112"/>
      <c r="CHJ207" s="112"/>
      <c r="CHK207" s="112"/>
      <c r="CHL207" s="112"/>
      <c r="CHM207" s="112"/>
      <c r="CHN207" s="112"/>
      <c r="CHO207" s="112"/>
      <c r="CHP207" s="112"/>
      <c r="CHQ207" s="112"/>
      <c r="CHR207" s="112"/>
      <c r="CHS207" s="112"/>
      <c r="CHT207" s="112"/>
      <c r="CHU207" s="112"/>
      <c r="CHV207" s="112"/>
      <c r="CHW207" s="112"/>
      <c r="CHX207" s="112"/>
      <c r="CHY207" s="112"/>
      <c r="CHZ207" s="112"/>
      <c r="CIA207" s="112"/>
      <c r="CIB207" s="112"/>
      <c r="CIC207" s="112"/>
      <c r="CID207" s="112"/>
      <c r="CIE207" s="112"/>
      <c r="CIF207" s="112"/>
      <c r="CIG207" s="112"/>
      <c r="CIH207" s="112"/>
      <c r="CII207" s="112"/>
      <c r="CIJ207" s="112"/>
      <c r="CIK207" s="112"/>
      <c r="CIL207" s="112"/>
      <c r="CIM207" s="112"/>
      <c r="CIN207" s="112"/>
      <c r="CIO207" s="112"/>
      <c r="CIP207" s="112"/>
      <c r="CIQ207" s="112"/>
      <c r="CIR207" s="112"/>
      <c r="CIS207" s="112"/>
      <c r="CIT207" s="112"/>
      <c r="CIU207" s="112"/>
      <c r="CIV207" s="112"/>
      <c r="CIW207" s="112"/>
      <c r="CIX207" s="112"/>
      <c r="CIY207" s="112"/>
      <c r="CIZ207" s="112"/>
      <c r="CJA207" s="112"/>
      <c r="CJB207" s="112"/>
      <c r="CJC207" s="112"/>
      <c r="CJD207" s="112"/>
      <c r="CJE207" s="112"/>
      <c r="CJF207" s="112"/>
      <c r="CJG207" s="112"/>
      <c r="CJH207" s="112"/>
      <c r="CJI207" s="112"/>
      <c r="CJJ207" s="112"/>
      <c r="CJK207" s="112"/>
      <c r="CJL207" s="112"/>
      <c r="CJM207" s="112"/>
      <c r="CJN207" s="112"/>
      <c r="CJO207" s="112"/>
      <c r="CJP207" s="112"/>
      <c r="CJQ207" s="112"/>
      <c r="CJR207" s="112"/>
      <c r="CJS207" s="112"/>
      <c r="CJT207" s="112"/>
      <c r="CJU207" s="112"/>
      <c r="CJV207" s="112"/>
      <c r="CJW207" s="112"/>
      <c r="CJX207" s="112"/>
      <c r="CJY207" s="112"/>
      <c r="CJZ207" s="112"/>
      <c r="CKA207" s="112"/>
      <c r="CKB207" s="112"/>
      <c r="CKC207" s="112"/>
      <c r="CKD207" s="112"/>
      <c r="CKE207" s="112"/>
      <c r="CKF207" s="112"/>
      <c r="CKG207" s="112"/>
      <c r="CKH207" s="112"/>
      <c r="CKI207" s="112"/>
      <c r="CKJ207" s="112"/>
      <c r="CKK207" s="112"/>
      <c r="CKL207" s="112"/>
      <c r="CKM207" s="112"/>
      <c r="CKN207" s="112"/>
      <c r="CKO207" s="112"/>
      <c r="CKP207" s="112"/>
      <c r="CKQ207" s="112"/>
      <c r="CKR207" s="112"/>
      <c r="CKS207" s="112"/>
      <c r="CKT207" s="112"/>
      <c r="CKU207" s="112"/>
      <c r="CKV207" s="112"/>
      <c r="CKW207" s="112"/>
      <c r="CKX207" s="112"/>
      <c r="CKY207" s="112"/>
      <c r="CKZ207" s="112"/>
      <c r="CLA207" s="112"/>
      <c r="CLB207" s="112"/>
      <c r="CLC207" s="112"/>
      <c r="CLD207" s="112"/>
      <c r="CLE207" s="112"/>
      <c r="CLF207" s="112"/>
      <c r="CLG207" s="112"/>
      <c r="CLH207" s="112"/>
      <c r="CLI207" s="112"/>
      <c r="CLJ207" s="112"/>
      <c r="CLK207" s="112"/>
      <c r="CLL207" s="112"/>
      <c r="CLM207" s="112"/>
      <c r="CLN207" s="112"/>
      <c r="CLO207" s="112"/>
      <c r="CLP207" s="112"/>
      <c r="CLQ207" s="112"/>
      <c r="CLR207" s="112"/>
      <c r="CLS207" s="112"/>
      <c r="CLT207" s="112"/>
      <c r="CLU207" s="112"/>
      <c r="CLV207" s="112"/>
      <c r="CLW207" s="112"/>
      <c r="CLX207" s="112"/>
      <c r="CLY207" s="112"/>
      <c r="CLZ207" s="112"/>
      <c r="CMA207" s="112"/>
      <c r="CMB207" s="112"/>
      <c r="CMC207" s="112"/>
      <c r="CMD207" s="112"/>
      <c r="CME207" s="112"/>
      <c r="CMF207" s="112"/>
      <c r="CMG207" s="112"/>
      <c r="CMH207" s="112"/>
      <c r="CMI207" s="112"/>
      <c r="CMJ207" s="112"/>
      <c r="CMK207" s="112"/>
      <c r="CML207" s="112"/>
      <c r="CMM207" s="112"/>
      <c r="CMN207" s="112"/>
      <c r="CMO207" s="112"/>
      <c r="CMP207" s="112"/>
      <c r="CMQ207" s="112"/>
      <c r="CMR207" s="112"/>
      <c r="CMS207" s="112"/>
      <c r="CMT207" s="112"/>
      <c r="CMU207" s="112"/>
      <c r="CMV207" s="112"/>
      <c r="CMW207" s="112"/>
      <c r="CMX207" s="112"/>
      <c r="CMY207" s="112"/>
      <c r="CMZ207" s="112"/>
      <c r="CNA207" s="112"/>
      <c r="CNB207" s="112"/>
      <c r="CNC207" s="112"/>
      <c r="CND207" s="112"/>
      <c r="CNE207" s="112"/>
      <c r="CNF207" s="112"/>
      <c r="CNG207" s="112"/>
      <c r="CNH207" s="112"/>
      <c r="CNI207" s="112"/>
      <c r="CNJ207" s="112"/>
      <c r="CNK207" s="112"/>
      <c r="CNL207" s="112"/>
      <c r="CNM207" s="112"/>
      <c r="CNN207" s="112"/>
      <c r="CNO207" s="112"/>
      <c r="CNP207" s="112"/>
      <c r="CNQ207" s="112"/>
      <c r="CNR207" s="112"/>
      <c r="CNS207" s="112"/>
      <c r="CNT207" s="112"/>
      <c r="CNU207" s="112"/>
      <c r="CNV207" s="112"/>
      <c r="CNW207" s="112"/>
      <c r="CNX207" s="112"/>
      <c r="CNY207" s="112"/>
      <c r="CNZ207" s="112"/>
      <c r="COA207" s="112"/>
      <c r="COB207" s="112"/>
      <c r="COC207" s="112"/>
      <c r="COD207" s="112"/>
      <c r="COE207" s="112"/>
      <c r="COF207" s="112"/>
      <c r="COG207" s="112"/>
      <c r="COH207" s="112"/>
      <c r="COI207" s="112"/>
      <c r="COJ207" s="112"/>
      <c r="COK207" s="112"/>
      <c r="COL207" s="112"/>
      <c r="COM207" s="112"/>
      <c r="CON207" s="112"/>
      <c r="COO207" s="112"/>
      <c r="COP207" s="112"/>
      <c r="COQ207" s="112"/>
      <c r="COR207" s="112"/>
      <c r="COS207" s="112"/>
      <c r="COT207" s="112"/>
      <c r="COU207" s="112"/>
      <c r="COV207" s="112"/>
      <c r="COW207" s="112"/>
      <c r="COX207" s="112"/>
      <c r="COY207" s="112"/>
      <c r="COZ207" s="112"/>
      <c r="CPA207" s="112"/>
      <c r="CPB207" s="112"/>
      <c r="CPC207" s="112"/>
      <c r="CPD207" s="112"/>
      <c r="CPE207" s="112"/>
      <c r="CPF207" s="112"/>
      <c r="CPG207" s="112"/>
      <c r="CPH207" s="112"/>
      <c r="CPI207" s="112"/>
      <c r="CPJ207" s="112"/>
      <c r="CPK207" s="112"/>
      <c r="CPL207" s="112"/>
      <c r="CPM207" s="112"/>
      <c r="CPN207" s="112"/>
      <c r="CPO207" s="112"/>
      <c r="CPP207" s="112"/>
      <c r="CPQ207" s="112"/>
      <c r="CPR207" s="112"/>
      <c r="CPS207" s="112"/>
      <c r="CPT207" s="112"/>
      <c r="CPU207" s="112"/>
      <c r="CPV207" s="112"/>
      <c r="CPW207" s="112"/>
      <c r="CPX207" s="112"/>
      <c r="CPY207" s="112"/>
      <c r="CPZ207" s="112"/>
      <c r="CQA207" s="112"/>
      <c r="CQB207" s="112"/>
      <c r="CQC207" s="112"/>
      <c r="CQD207" s="112"/>
      <c r="CQE207" s="112"/>
      <c r="CQF207" s="112"/>
      <c r="CQG207" s="112"/>
      <c r="CQH207" s="112"/>
      <c r="CQI207" s="112"/>
      <c r="CQJ207" s="112"/>
      <c r="CQK207" s="112"/>
      <c r="CQL207" s="112"/>
      <c r="CQM207" s="112"/>
      <c r="CQN207" s="112"/>
      <c r="CQO207" s="112"/>
      <c r="CQP207" s="112"/>
      <c r="CQQ207" s="112"/>
      <c r="CQR207" s="112"/>
      <c r="CQS207" s="112"/>
      <c r="CQT207" s="112"/>
      <c r="CQU207" s="112"/>
      <c r="CQV207" s="112"/>
      <c r="CQW207" s="112"/>
      <c r="CQX207" s="112"/>
      <c r="CQY207" s="112"/>
      <c r="CQZ207" s="112"/>
      <c r="CRA207" s="112"/>
      <c r="CRB207" s="112"/>
      <c r="CRC207" s="112"/>
      <c r="CRD207" s="112"/>
      <c r="CRE207" s="112"/>
      <c r="CRF207" s="112"/>
      <c r="CRG207" s="112"/>
      <c r="CRH207" s="112"/>
      <c r="CRI207" s="112"/>
      <c r="CRJ207" s="112"/>
      <c r="CRK207" s="112"/>
      <c r="CRL207" s="112"/>
      <c r="CRM207" s="112"/>
      <c r="CRN207" s="112"/>
      <c r="CRO207" s="112"/>
      <c r="CRP207" s="112"/>
      <c r="CRQ207" s="112"/>
      <c r="CRR207" s="112"/>
      <c r="CRS207" s="112"/>
      <c r="CRT207" s="112"/>
      <c r="CRU207" s="112"/>
      <c r="CRV207" s="112"/>
      <c r="CRW207" s="112"/>
      <c r="CRX207" s="112"/>
      <c r="CRY207" s="112"/>
      <c r="CRZ207" s="112"/>
      <c r="CSA207" s="112"/>
      <c r="CSB207" s="112"/>
      <c r="CSC207" s="112"/>
      <c r="CSD207" s="112"/>
      <c r="CSE207" s="112"/>
      <c r="CSF207" s="112"/>
      <c r="CSG207" s="112"/>
      <c r="CSH207" s="112"/>
      <c r="CSI207" s="112"/>
      <c r="CSJ207" s="112"/>
      <c r="CSK207" s="112"/>
      <c r="CSL207" s="112"/>
      <c r="CSM207" s="112"/>
      <c r="CSN207" s="112"/>
      <c r="CSO207" s="112"/>
      <c r="CSP207" s="112"/>
      <c r="CSQ207" s="112"/>
      <c r="CSR207" s="112"/>
      <c r="CSS207" s="112"/>
      <c r="CST207" s="112"/>
      <c r="CSU207" s="112"/>
      <c r="CSV207" s="112"/>
      <c r="CSW207" s="112"/>
      <c r="CSX207" s="112"/>
      <c r="CSY207" s="112"/>
      <c r="CSZ207" s="112"/>
      <c r="CTA207" s="112"/>
      <c r="CTB207" s="112"/>
      <c r="CTC207" s="112"/>
      <c r="CTD207" s="112"/>
      <c r="CTE207" s="112"/>
      <c r="CTF207" s="112"/>
      <c r="CTG207" s="112"/>
      <c r="CTH207" s="112"/>
      <c r="CTI207" s="112"/>
      <c r="CTJ207" s="112"/>
      <c r="CTK207" s="112"/>
      <c r="CTL207" s="112"/>
      <c r="CTM207" s="112"/>
      <c r="CTN207" s="112"/>
      <c r="CTO207" s="112"/>
      <c r="CTP207" s="112"/>
      <c r="CTQ207" s="112"/>
      <c r="CTR207" s="112"/>
      <c r="CTS207" s="112"/>
      <c r="CTT207" s="112"/>
      <c r="CTU207" s="112"/>
      <c r="CTV207" s="112"/>
      <c r="CTW207" s="112"/>
      <c r="CTX207" s="112"/>
      <c r="CTY207" s="112"/>
      <c r="CTZ207" s="112"/>
      <c r="CUA207" s="112"/>
      <c r="CUB207" s="112"/>
      <c r="CUC207" s="112"/>
      <c r="CUD207" s="112"/>
      <c r="CUE207" s="112"/>
      <c r="CUF207" s="112"/>
      <c r="CUG207" s="112"/>
      <c r="CUH207" s="112"/>
      <c r="CUI207" s="112"/>
      <c r="CUJ207" s="112"/>
      <c r="CUK207" s="112"/>
      <c r="CUL207" s="112"/>
      <c r="CUM207" s="112"/>
      <c r="CUN207" s="112"/>
      <c r="CUO207" s="112"/>
      <c r="CUP207" s="112"/>
      <c r="CUQ207" s="112"/>
      <c r="CUR207" s="112"/>
      <c r="CUS207" s="112"/>
      <c r="CUT207" s="112"/>
      <c r="CUU207" s="112"/>
      <c r="CUV207" s="112"/>
      <c r="CUW207" s="112"/>
      <c r="CUX207" s="112"/>
      <c r="CUY207" s="112"/>
      <c r="CUZ207" s="112"/>
      <c r="CVA207" s="112"/>
      <c r="CVB207" s="112"/>
      <c r="CVC207" s="112"/>
      <c r="CVD207" s="112"/>
      <c r="CVE207" s="112"/>
      <c r="CVF207" s="112"/>
      <c r="CVG207" s="112"/>
      <c r="CVH207" s="112"/>
      <c r="CVI207" s="112"/>
      <c r="CVJ207" s="112"/>
      <c r="CVK207" s="112"/>
      <c r="CVL207" s="112"/>
      <c r="CVM207" s="112"/>
      <c r="CVN207" s="112"/>
      <c r="CVO207" s="112"/>
      <c r="CVP207" s="112"/>
      <c r="CVQ207" s="112"/>
      <c r="CVR207" s="112"/>
      <c r="CVS207" s="112"/>
      <c r="CVT207" s="112"/>
      <c r="CVU207" s="112"/>
      <c r="CVV207" s="112"/>
      <c r="CVW207" s="112"/>
      <c r="CVX207" s="112"/>
      <c r="CVY207" s="112"/>
      <c r="CVZ207" s="112"/>
      <c r="CWA207" s="112"/>
      <c r="CWB207" s="112"/>
      <c r="CWC207" s="112"/>
      <c r="CWD207" s="112"/>
      <c r="CWE207" s="112"/>
      <c r="CWF207" s="112"/>
      <c r="CWG207" s="112"/>
      <c r="CWH207" s="112"/>
      <c r="CWI207" s="112"/>
      <c r="CWJ207" s="112"/>
      <c r="CWK207" s="112"/>
      <c r="CWL207" s="112"/>
      <c r="CWM207" s="112"/>
      <c r="CWN207" s="112"/>
      <c r="CWO207" s="112"/>
      <c r="CWP207" s="112"/>
      <c r="CWQ207" s="112"/>
      <c r="CWR207" s="112"/>
      <c r="CWS207" s="112"/>
      <c r="CWT207" s="112"/>
      <c r="CWU207" s="112"/>
      <c r="CWV207" s="112"/>
      <c r="CWW207" s="112"/>
      <c r="CWX207" s="112"/>
      <c r="CWY207" s="112"/>
      <c r="CWZ207" s="112"/>
      <c r="CXA207" s="112"/>
      <c r="CXB207" s="112"/>
      <c r="CXC207" s="112"/>
      <c r="CXD207" s="112"/>
      <c r="CXE207" s="112"/>
      <c r="CXF207" s="112"/>
      <c r="CXG207" s="112"/>
      <c r="CXH207" s="112"/>
      <c r="CXI207" s="112"/>
      <c r="CXJ207" s="112"/>
      <c r="CXK207" s="112"/>
      <c r="CXL207" s="112"/>
      <c r="CXM207" s="112"/>
      <c r="CXN207" s="112"/>
      <c r="CXO207" s="112"/>
      <c r="CXP207" s="112"/>
      <c r="CXQ207" s="112"/>
      <c r="CXR207" s="112"/>
      <c r="CXS207" s="112"/>
      <c r="CXT207" s="112"/>
      <c r="CXU207" s="112"/>
      <c r="CXV207" s="112"/>
      <c r="CXW207" s="112"/>
      <c r="CXX207" s="112"/>
      <c r="CXY207" s="112"/>
      <c r="CXZ207" s="112"/>
      <c r="CYA207" s="112"/>
      <c r="CYB207" s="112"/>
      <c r="CYC207" s="112"/>
      <c r="CYD207" s="112"/>
      <c r="CYE207" s="112"/>
      <c r="CYF207" s="112"/>
      <c r="CYG207" s="112"/>
      <c r="CYH207" s="112"/>
      <c r="CYI207" s="112"/>
      <c r="CYJ207" s="112"/>
      <c r="CYK207" s="112"/>
      <c r="CYL207" s="112"/>
      <c r="CYM207" s="112"/>
      <c r="CYN207" s="112"/>
      <c r="CYO207" s="112"/>
      <c r="CYP207" s="112"/>
      <c r="CYQ207" s="112"/>
      <c r="CYR207" s="112"/>
      <c r="CYS207" s="112"/>
      <c r="CYT207" s="112"/>
      <c r="CYU207" s="112"/>
      <c r="CYV207" s="112"/>
      <c r="CYW207" s="112"/>
      <c r="CYX207" s="112"/>
      <c r="CYY207" s="112"/>
      <c r="CYZ207" s="112"/>
      <c r="CZA207" s="112"/>
      <c r="CZB207" s="112"/>
      <c r="CZC207" s="112"/>
      <c r="CZD207" s="112"/>
      <c r="CZE207" s="112"/>
      <c r="CZF207" s="112"/>
      <c r="CZG207" s="112"/>
      <c r="CZH207" s="112"/>
      <c r="CZI207" s="112"/>
      <c r="CZJ207" s="112"/>
      <c r="CZK207" s="112"/>
      <c r="CZL207" s="112"/>
      <c r="CZM207" s="112"/>
      <c r="CZN207" s="112"/>
      <c r="CZO207" s="112"/>
      <c r="CZP207" s="112"/>
      <c r="CZQ207" s="112"/>
      <c r="CZR207" s="112"/>
      <c r="CZS207" s="112"/>
      <c r="CZT207" s="112"/>
      <c r="CZU207" s="112"/>
      <c r="CZV207" s="112"/>
      <c r="CZW207" s="112"/>
      <c r="CZX207" s="112"/>
      <c r="CZY207" s="112"/>
      <c r="CZZ207" s="112"/>
      <c r="DAA207" s="112"/>
      <c r="DAB207" s="112"/>
      <c r="DAC207" s="112"/>
      <c r="DAD207" s="112"/>
      <c r="DAE207" s="112"/>
      <c r="DAF207" s="112"/>
      <c r="DAG207" s="112"/>
      <c r="DAH207" s="112"/>
      <c r="DAI207" s="112"/>
      <c r="DAJ207" s="112"/>
      <c r="DAK207" s="112"/>
      <c r="DAL207" s="112"/>
      <c r="DAM207" s="112"/>
      <c r="DAN207" s="112"/>
      <c r="DAO207" s="112"/>
      <c r="DAP207" s="112"/>
      <c r="DAQ207" s="112"/>
      <c r="DAR207" s="112"/>
      <c r="DAS207" s="112"/>
      <c r="DAT207" s="112"/>
      <c r="DAU207" s="112"/>
      <c r="DAV207" s="112"/>
      <c r="DAW207" s="112"/>
      <c r="DAX207" s="112"/>
      <c r="DAY207" s="112"/>
      <c r="DAZ207" s="112"/>
      <c r="DBA207" s="112"/>
      <c r="DBB207" s="112"/>
      <c r="DBC207" s="112"/>
      <c r="DBD207" s="112"/>
      <c r="DBE207" s="112"/>
      <c r="DBF207" s="112"/>
      <c r="DBG207" s="112"/>
      <c r="DBH207" s="112"/>
      <c r="DBI207" s="112"/>
      <c r="DBJ207" s="112"/>
      <c r="DBK207" s="112"/>
      <c r="DBL207" s="112"/>
      <c r="DBM207" s="112"/>
      <c r="DBN207" s="112"/>
      <c r="DBO207" s="112"/>
      <c r="DBP207" s="112"/>
      <c r="DBQ207" s="112"/>
      <c r="DBR207" s="112"/>
      <c r="DBS207" s="112"/>
      <c r="DBT207" s="112"/>
      <c r="DBU207" s="112"/>
      <c r="DBV207" s="112"/>
      <c r="DBW207" s="112"/>
      <c r="DBX207" s="112"/>
      <c r="DBY207" s="112"/>
      <c r="DBZ207" s="112"/>
      <c r="DCA207" s="112"/>
      <c r="DCB207" s="112"/>
      <c r="DCC207" s="112"/>
      <c r="DCD207" s="112"/>
      <c r="DCE207" s="112"/>
      <c r="DCF207" s="112"/>
      <c r="DCG207" s="112"/>
      <c r="DCH207" s="112"/>
      <c r="DCI207" s="112"/>
      <c r="DCJ207" s="112"/>
      <c r="DCK207" s="112"/>
      <c r="DCL207" s="112"/>
      <c r="DCM207" s="112"/>
      <c r="DCN207" s="112"/>
      <c r="DCO207" s="112"/>
      <c r="DCP207" s="112"/>
      <c r="DCQ207" s="112"/>
      <c r="DCR207" s="112"/>
      <c r="DCS207" s="112"/>
      <c r="DCT207" s="112"/>
      <c r="DCU207" s="112"/>
      <c r="DCV207" s="112"/>
      <c r="DCW207" s="112"/>
      <c r="DCX207" s="112"/>
      <c r="DCY207" s="112"/>
      <c r="DCZ207" s="112"/>
      <c r="DDA207" s="112"/>
      <c r="DDB207" s="112"/>
      <c r="DDC207" s="112"/>
      <c r="DDD207" s="112"/>
      <c r="DDE207" s="112"/>
      <c r="DDF207" s="112"/>
      <c r="DDG207" s="112"/>
      <c r="DDH207" s="112"/>
      <c r="DDI207" s="112"/>
      <c r="DDJ207" s="112"/>
      <c r="DDK207" s="112"/>
      <c r="DDL207" s="112"/>
      <c r="DDM207" s="112"/>
      <c r="DDN207" s="112"/>
      <c r="DDO207" s="112"/>
      <c r="DDP207" s="112"/>
      <c r="DDQ207" s="112"/>
      <c r="DDR207" s="112"/>
      <c r="DDS207" s="112"/>
      <c r="DDT207" s="112"/>
      <c r="DDU207" s="112"/>
      <c r="DDV207" s="112"/>
      <c r="DDW207" s="112"/>
      <c r="DDX207" s="112"/>
      <c r="DDY207" s="112"/>
      <c r="DDZ207" s="112"/>
      <c r="DEA207" s="112"/>
      <c r="DEB207" s="112"/>
      <c r="DEC207" s="112"/>
      <c r="DED207" s="112"/>
      <c r="DEE207" s="112"/>
      <c r="DEF207" s="112"/>
      <c r="DEG207" s="112"/>
      <c r="DEH207" s="112"/>
      <c r="DEI207" s="112"/>
      <c r="DEJ207" s="112"/>
      <c r="DEK207" s="112"/>
      <c r="DEL207" s="112"/>
      <c r="DEM207" s="112"/>
      <c r="DEN207" s="112"/>
      <c r="DEO207" s="112"/>
      <c r="DEP207" s="112"/>
      <c r="DEQ207" s="112"/>
      <c r="DER207" s="112"/>
      <c r="DES207" s="112"/>
      <c r="DET207" s="112"/>
      <c r="DEU207" s="112"/>
      <c r="DEV207" s="112"/>
      <c r="DEW207" s="112"/>
      <c r="DEX207" s="112"/>
      <c r="DEY207" s="112"/>
      <c r="DEZ207" s="112"/>
      <c r="DFA207" s="112"/>
      <c r="DFB207" s="112"/>
      <c r="DFC207" s="112"/>
      <c r="DFD207" s="112"/>
      <c r="DFE207" s="112"/>
      <c r="DFF207" s="112"/>
      <c r="DFG207" s="112"/>
      <c r="DFH207" s="112"/>
      <c r="DFI207" s="112"/>
      <c r="DFJ207" s="112"/>
      <c r="DFK207" s="112"/>
      <c r="DFL207" s="112"/>
      <c r="DFM207" s="112"/>
      <c r="DFN207" s="112"/>
      <c r="DFO207" s="112"/>
      <c r="DFP207" s="112"/>
      <c r="DFQ207" s="112"/>
      <c r="DFR207" s="112"/>
      <c r="DFS207" s="112"/>
      <c r="DFT207" s="112"/>
      <c r="DFU207" s="112"/>
      <c r="DFV207" s="112"/>
      <c r="DFW207" s="112"/>
      <c r="DFX207" s="112"/>
      <c r="DFY207" s="112"/>
      <c r="DFZ207" s="112"/>
      <c r="DGA207" s="112"/>
      <c r="DGB207" s="112"/>
      <c r="DGC207" s="112"/>
      <c r="DGD207" s="112"/>
      <c r="DGE207" s="112"/>
      <c r="DGF207" s="112"/>
      <c r="DGG207" s="112"/>
      <c r="DGH207" s="112"/>
      <c r="DGI207" s="112"/>
      <c r="DGJ207" s="112"/>
      <c r="DGK207" s="112"/>
      <c r="DGL207" s="112"/>
      <c r="DGM207" s="112"/>
      <c r="DGN207" s="112"/>
      <c r="DGO207" s="112"/>
      <c r="DGP207" s="112"/>
      <c r="DGQ207" s="112"/>
      <c r="DGR207" s="112"/>
      <c r="DGS207" s="112"/>
      <c r="DGT207" s="112"/>
      <c r="DGU207" s="112"/>
      <c r="DGV207" s="112"/>
      <c r="DGW207" s="112"/>
      <c r="DGX207" s="112"/>
      <c r="DGY207" s="112"/>
      <c r="DGZ207" s="112"/>
      <c r="DHA207" s="112"/>
      <c r="DHB207" s="112"/>
      <c r="DHC207" s="112"/>
      <c r="DHD207" s="112"/>
      <c r="DHE207" s="112"/>
      <c r="DHF207" s="112"/>
      <c r="DHG207" s="112"/>
      <c r="DHH207" s="112"/>
      <c r="DHI207" s="112"/>
      <c r="DHJ207" s="112"/>
      <c r="DHK207" s="112"/>
      <c r="DHL207" s="112"/>
      <c r="DHM207" s="112"/>
      <c r="DHN207" s="112"/>
      <c r="DHO207" s="112"/>
      <c r="DHP207" s="112"/>
      <c r="DHQ207" s="112"/>
      <c r="DHR207" s="112"/>
      <c r="DHS207" s="112"/>
      <c r="DHT207" s="112"/>
      <c r="DHU207" s="112"/>
      <c r="DHV207" s="112"/>
      <c r="DHW207" s="112"/>
      <c r="DHX207" s="112"/>
      <c r="DHY207" s="112"/>
      <c r="DHZ207" s="112"/>
      <c r="DIA207" s="112"/>
      <c r="DIB207" s="112"/>
      <c r="DIC207" s="112"/>
      <c r="DID207" s="112"/>
      <c r="DIE207" s="112"/>
      <c r="DIF207" s="112"/>
      <c r="DIG207" s="112"/>
      <c r="DIH207" s="112"/>
      <c r="DII207" s="112"/>
      <c r="DIJ207" s="112"/>
      <c r="DIK207" s="112"/>
      <c r="DIL207" s="112"/>
      <c r="DIM207" s="112"/>
      <c r="DIN207" s="112"/>
      <c r="DIO207" s="112"/>
      <c r="DIP207" s="112"/>
      <c r="DIQ207" s="112"/>
      <c r="DIR207" s="112"/>
      <c r="DIS207" s="112"/>
      <c r="DIT207" s="112"/>
      <c r="DIU207" s="112"/>
      <c r="DIV207" s="112"/>
      <c r="DIW207" s="112"/>
      <c r="DIX207" s="112"/>
      <c r="DIY207" s="112"/>
      <c r="DIZ207" s="112"/>
      <c r="DJA207" s="112"/>
      <c r="DJB207" s="112"/>
      <c r="DJC207" s="112"/>
      <c r="DJD207" s="112"/>
      <c r="DJE207" s="112"/>
      <c r="DJF207" s="112"/>
      <c r="DJG207" s="112"/>
      <c r="DJH207" s="112"/>
      <c r="DJI207" s="112"/>
      <c r="DJJ207" s="112"/>
      <c r="DJK207" s="112"/>
      <c r="DJL207" s="112"/>
      <c r="DJM207" s="112"/>
      <c r="DJN207" s="112"/>
      <c r="DJO207" s="112"/>
      <c r="DJP207" s="112"/>
      <c r="DJQ207" s="112"/>
      <c r="DJR207" s="112"/>
      <c r="DJS207" s="112"/>
      <c r="DJT207" s="112"/>
      <c r="DJU207" s="112"/>
      <c r="DJV207" s="112"/>
      <c r="DJW207" s="112"/>
      <c r="DJX207" s="112"/>
      <c r="DJY207" s="112"/>
      <c r="DJZ207" s="112"/>
      <c r="DKA207" s="112"/>
      <c r="DKB207" s="112"/>
      <c r="DKC207" s="112"/>
      <c r="DKD207" s="112"/>
      <c r="DKE207" s="112"/>
      <c r="DKF207" s="112"/>
      <c r="DKG207" s="112"/>
      <c r="DKH207" s="112"/>
      <c r="DKI207" s="112"/>
      <c r="DKJ207" s="112"/>
      <c r="DKK207" s="112"/>
      <c r="DKL207" s="112"/>
      <c r="DKM207" s="112"/>
      <c r="DKN207" s="112"/>
      <c r="DKO207" s="112"/>
      <c r="DKP207" s="112"/>
      <c r="DKQ207" s="112"/>
      <c r="DKR207" s="112"/>
      <c r="DKS207" s="112"/>
      <c r="DKT207" s="112"/>
      <c r="DKU207" s="112"/>
      <c r="DKV207" s="112"/>
      <c r="DKW207" s="112"/>
      <c r="DKX207" s="112"/>
      <c r="DKY207" s="112"/>
      <c r="DKZ207" s="112"/>
      <c r="DLA207" s="112"/>
      <c r="DLB207" s="112"/>
      <c r="DLC207" s="112"/>
      <c r="DLD207" s="112"/>
      <c r="DLE207" s="112"/>
      <c r="DLF207" s="112"/>
      <c r="DLG207" s="112"/>
      <c r="DLH207" s="112"/>
      <c r="DLI207" s="112"/>
      <c r="DLJ207" s="112"/>
      <c r="DLK207" s="112"/>
      <c r="DLL207" s="112"/>
      <c r="DLM207" s="112"/>
      <c r="DLN207" s="112"/>
      <c r="DLO207" s="112"/>
      <c r="DLP207" s="112"/>
      <c r="DLQ207" s="112"/>
      <c r="DLR207" s="112"/>
      <c r="DLS207" s="112"/>
      <c r="DLT207" s="112"/>
      <c r="DLU207" s="112"/>
      <c r="DLV207" s="112"/>
      <c r="DLW207" s="112"/>
      <c r="DLX207" s="112"/>
      <c r="DLY207" s="112"/>
      <c r="DLZ207" s="112"/>
      <c r="DMA207" s="112"/>
      <c r="DMB207" s="112"/>
      <c r="DMC207" s="112"/>
      <c r="DMD207" s="112"/>
      <c r="DME207" s="112"/>
      <c r="DMF207" s="112"/>
      <c r="DMG207" s="112"/>
      <c r="DMH207" s="112"/>
      <c r="DMI207" s="112"/>
      <c r="DMJ207" s="112"/>
      <c r="DMK207" s="112"/>
      <c r="DML207" s="112"/>
      <c r="DMM207" s="112"/>
      <c r="DMN207" s="112"/>
      <c r="DMO207" s="112"/>
      <c r="DMP207" s="112"/>
      <c r="DMQ207" s="112"/>
      <c r="DMR207" s="112"/>
      <c r="DMS207" s="112"/>
      <c r="DMT207" s="112"/>
      <c r="DMU207" s="112"/>
      <c r="DMV207" s="112"/>
      <c r="DMW207" s="112"/>
      <c r="DMX207" s="112"/>
      <c r="DMY207" s="112"/>
      <c r="DMZ207" s="112"/>
      <c r="DNA207" s="112"/>
      <c r="DNB207" s="112"/>
      <c r="DNC207" s="112"/>
      <c r="DND207" s="112"/>
      <c r="DNE207" s="112"/>
      <c r="DNF207" s="112"/>
      <c r="DNG207" s="112"/>
      <c r="DNH207" s="112"/>
      <c r="DNI207" s="112"/>
      <c r="DNJ207" s="112"/>
      <c r="DNK207" s="112"/>
      <c r="DNL207" s="112"/>
      <c r="DNM207" s="112"/>
      <c r="DNN207" s="112"/>
      <c r="DNO207" s="112"/>
      <c r="DNP207" s="112"/>
      <c r="DNQ207" s="112"/>
      <c r="DNR207" s="112"/>
      <c r="DNS207" s="112"/>
      <c r="DNT207" s="112"/>
      <c r="DNU207" s="112"/>
      <c r="DNV207" s="112"/>
      <c r="DNW207" s="112"/>
      <c r="DNX207" s="112"/>
      <c r="DNY207" s="112"/>
      <c r="DNZ207" s="112"/>
      <c r="DOA207" s="112"/>
      <c r="DOB207" s="112"/>
      <c r="DOC207" s="112"/>
      <c r="DOD207" s="112"/>
      <c r="DOE207" s="112"/>
      <c r="DOF207" s="112"/>
      <c r="DOG207" s="112"/>
      <c r="DOH207" s="112"/>
      <c r="DOI207" s="112"/>
      <c r="DOJ207" s="112"/>
      <c r="DOK207" s="112"/>
      <c r="DOL207" s="112"/>
      <c r="DOM207" s="112"/>
      <c r="DON207" s="112"/>
      <c r="DOO207" s="112"/>
      <c r="DOP207" s="112"/>
      <c r="DOQ207" s="112"/>
      <c r="DOR207" s="112"/>
      <c r="DOS207" s="112"/>
      <c r="DOT207" s="112"/>
      <c r="DOU207" s="112"/>
      <c r="DOV207" s="112"/>
      <c r="DOW207" s="112"/>
      <c r="DOX207" s="112"/>
      <c r="DOY207" s="112"/>
      <c r="DOZ207" s="112"/>
      <c r="DPA207" s="112"/>
      <c r="DPB207" s="112"/>
      <c r="DPC207" s="112"/>
      <c r="DPD207" s="112"/>
      <c r="DPE207" s="112"/>
      <c r="DPF207" s="112"/>
      <c r="DPG207" s="112"/>
      <c r="DPH207" s="112"/>
      <c r="DPI207" s="112"/>
      <c r="DPJ207" s="112"/>
      <c r="DPK207" s="112"/>
      <c r="DPL207" s="112"/>
      <c r="DPM207" s="112"/>
      <c r="DPN207" s="112"/>
      <c r="DPO207" s="112"/>
      <c r="DPP207" s="112"/>
      <c r="DPQ207" s="112"/>
      <c r="DPR207" s="112"/>
      <c r="DPS207" s="112"/>
      <c r="DPT207" s="112"/>
      <c r="DPU207" s="112"/>
      <c r="DPV207" s="112"/>
      <c r="DPW207" s="112"/>
      <c r="DPX207" s="112"/>
      <c r="DPY207" s="112"/>
      <c r="DPZ207" s="112"/>
      <c r="DQA207" s="112"/>
      <c r="DQB207" s="112"/>
      <c r="DQC207" s="112"/>
      <c r="DQD207" s="112"/>
      <c r="DQE207" s="112"/>
      <c r="DQF207" s="112"/>
      <c r="DQG207" s="112"/>
      <c r="DQH207" s="112"/>
      <c r="DQI207" s="112"/>
      <c r="DQJ207" s="112"/>
      <c r="DQK207" s="112"/>
      <c r="DQL207" s="112"/>
      <c r="DQM207" s="112"/>
      <c r="DQN207" s="112"/>
      <c r="DQO207" s="112"/>
      <c r="DQP207" s="112"/>
      <c r="DQQ207" s="112"/>
      <c r="DQR207" s="112"/>
      <c r="DQS207" s="112"/>
      <c r="DQT207" s="112"/>
      <c r="DQU207" s="112"/>
      <c r="DQV207" s="112"/>
      <c r="DQW207" s="112"/>
      <c r="DQX207" s="112"/>
      <c r="DQY207" s="112"/>
      <c r="DQZ207" s="112"/>
      <c r="DRA207" s="112"/>
      <c r="DRB207" s="112"/>
      <c r="DRC207" s="112"/>
      <c r="DRD207" s="112"/>
      <c r="DRE207" s="112"/>
      <c r="DRF207" s="112"/>
      <c r="DRG207" s="112"/>
      <c r="DRH207" s="112"/>
      <c r="DRI207" s="112"/>
      <c r="DRJ207" s="112"/>
      <c r="DRK207" s="112"/>
      <c r="DRL207" s="112"/>
      <c r="DRM207" s="112"/>
      <c r="DRN207" s="112"/>
      <c r="DRO207" s="112"/>
      <c r="DRP207" s="112"/>
      <c r="DRQ207" s="112"/>
      <c r="DRR207" s="112"/>
      <c r="DRS207" s="112"/>
      <c r="DRT207" s="112"/>
      <c r="DRU207" s="112"/>
      <c r="DRV207" s="112"/>
      <c r="DRW207" s="112"/>
      <c r="DRX207" s="112"/>
      <c r="DRY207" s="112"/>
      <c r="DRZ207" s="112"/>
      <c r="DSA207" s="112"/>
      <c r="DSB207" s="112"/>
      <c r="DSC207" s="112"/>
      <c r="DSD207" s="112"/>
      <c r="DSE207" s="112"/>
      <c r="DSF207" s="112"/>
      <c r="DSG207" s="112"/>
      <c r="DSH207" s="112"/>
      <c r="DSI207" s="112"/>
      <c r="DSJ207" s="112"/>
      <c r="DSK207" s="112"/>
      <c r="DSL207" s="112"/>
      <c r="DSM207" s="112"/>
      <c r="DSN207" s="112"/>
      <c r="DSO207" s="112"/>
      <c r="DSP207" s="112"/>
      <c r="DSQ207" s="112"/>
      <c r="DSR207" s="112"/>
      <c r="DSS207" s="112"/>
      <c r="DST207" s="112"/>
      <c r="DSU207" s="112"/>
      <c r="DSV207" s="112"/>
      <c r="DSW207" s="112"/>
      <c r="DSX207" s="112"/>
      <c r="DSY207" s="112"/>
      <c r="DSZ207" s="112"/>
      <c r="DTA207" s="112"/>
      <c r="DTB207" s="112"/>
      <c r="DTC207" s="112"/>
      <c r="DTD207" s="112"/>
      <c r="DTE207" s="112"/>
      <c r="DTF207" s="112"/>
      <c r="DTG207" s="112"/>
      <c r="DTH207" s="112"/>
      <c r="DTI207" s="112"/>
      <c r="DTJ207" s="112"/>
      <c r="DTK207" s="112"/>
      <c r="DTL207" s="112"/>
      <c r="DTM207" s="112"/>
      <c r="DTN207" s="112"/>
      <c r="DTO207" s="112"/>
      <c r="DTP207" s="112"/>
      <c r="DTQ207" s="112"/>
      <c r="DTR207" s="112"/>
      <c r="DTS207" s="112"/>
      <c r="DTT207" s="112"/>
      <c r="DTU207" s="112"/>
      <c r="DTV207" s="112"/>
      <c r="DTW207" s="112"/>
      <c r="DTX207" s="112"/>
      <c r="DTY207" s="112"/>
      <c r="DTZ207" s="112"/>
      <c r="DUA207" s="112"/>
      <c r="DUB207" s="112"/>
      <c r="DUC207" s="112"/>
      <c r="DUD207" s="112"/>
      <c r="DUE207" s="112"/>
      <c r="DUF207" s="112"/>
      <c r="DUG207" s="112"/>
      <c r="DUH207" s="112"/>
      <c r="DUI207" s="112"/>
      <c r="DUJ207" s="112"/>
      <c r="DUK207" s="112"/>
      <c r="DUL207" s="112"/>
      <c r="DUM207" s="112"/>
      <c r="DUN207" s="112"/>
      <c r="DUO207" s="112"/>
      <c r="DUP207" s="112"/>
      <c r="DUQ207" s="112"/>
      <c r="DUR207" s="112"/>
      <c r="DUS207" s="112"/>
      <c r="DUT207" s="112"/>
      <c r="DUU207" s="112"/>
      <c r="DUV207" s="112"/>
      <c r="DUW207" s="112"/>
      <c r="DUX207" s="112"/>
      <c r="DUY207" s="112"/>
      <c r="DUZ207" s="112"/>
      <c r="DVA207" s="112"/>
      <c r="DVB207" s="112"/>
      <c r="DVC207" s="112"/>
      <c r="DVD207" s="112"/>
      <c r="DVE207" s="112"/>
      <c r="DVF207" s="112"/>
      <c r="DVG207" s="112"/>
      <c r="DVH207" s="112"/>
      <c r="DVI207" s="112"/>
      <c r="DVJ207" s="112"/>
      <c r="DVK207" s="112"/>
      <c r="DVL207" s="112"/>
      <c r="DVM207" s="112"/>
      <c r="DVN207" s="112"/>
      <c r="DVO207" s="112"/>
      <c r="DVP207" s="112"/>
      <c r="DVQ207" s="112"/>
      <c r="DVR207" s="112"/>
      <c r="DVS207" s="112"/>
      <c r="DVT207" s="112"/>
      <c r="DVU207" s="112"/>
      <c r="DVV207" s="112"/>
      <c r="DVW207" s="112"/>
      <c r="DVX207" s="112"/>
      <c r="DVY207" s="112"/>
      <c r="DVZ207" s="112"/>
      <c r="DWA207" s="112"/>
      <c r="DWB207" s="112"/>
      <c r="DWC207" s="112"/>
      <c r="DWD207" s="112"/>
      <c r="DWE207" s="112"/>
      <c r="DWF207" s="112"/>
      <c r="DWG207" s="112"/>
      <c r="DWH207" s="112"/>
      <c r="DWI207" s="112"/>
      <c r="DWJ207" s="112"/>
      <c r="DWK207" s="112"/>
      <c r="DWL207" s="112"/>
      <c r="DWM207" s="112"/>
      <c r="DWN207" s="112"/>
      <c r="DWO207" s="112"/>
      <c r="DWP207" s="112"/>
      <c r="DWQ207" s="112"/>
      <c r="DWR207" s="112"/>
      <c r="DWS207" s="112"/>
      <c r="DWT207" s="112"/>
      <c r="DWU207" s="112"/>
      <c r="DWV207" s="112"/>
      <c r="DWW207" s="112"/>
      <c r="DWX207" s="112"/>
      <c r="DWY207" s="112"/>
      <c r="DWZ207" s="112"/>
      <c r="DXA207" s="112"/>
      <c r="DXB207" s="112"/>
      <c r="DXC207" s="112"/>
      <c r="DXD207" s="112"/>
      <c r="DXE207" s="112"/>
      <c r="DXF207" s="112"/>
      <c r="DXG207" s="112"/>
      <c r="DXH207" s="112"/>
      <c r="DXI207" s="112"/>
      <c r="DXJ207" s="112"/>
      <c r="DXK207" s="112"/>
      <c r="DXL207" s="112"/>
      <c r="DXM207" s="112"/>
      <c r="DXN207" s="112"/>
      <c r="DXO207" s="112"/>
      <c r="DXP207" s="112"/>
      <c r="DXQ207" s="112"/>
      <c r="DXR207" s="112"/>
      <c r="DXS207" s="112"/>
      <c r="DXT207" s="112"/>
      <c r="DXU207" s="112"/>
      <c r="DXV207" s="112"/>
      <c r="DXW207" s="112"/>
      <c r="DXX207" s="112"/>
      <c r="DXY207" s="112"/>
      <c r="DXZ207" s="112"/>
      <c r="DYA207" s="112"/>
      <c r="DYB207" s="112"/>
      <c r="DYC207" s="112"/>
      <c r="DYD207" s="112"/>
      <c r="DYE207" s="112"/>
      <c r="DYF207" s="112"/>
      <c r="DYG207" s="112"/>
      <c r="DYH207" s="112"/>
      <c r="DYI207" s="112"/>
      <c r="DYJ207" s="112"/>
      <c r="DYK207" s="112"/>
      <c r="DYL207" s="112"/>
      <c r="DYM207" s="112"/>
      <c r="DYN207" s="112"/>
      <c r="DYO207" s="112"/>
      <c r="DYP207" s="112"/>
      <c r="DYQ207" s="112"/>
      <c r="DYR207" s="112"/>
      <c r="DYS207" s="112"/>
      <c r="DYT207" s="112"/>
      <c r="DYU207" s="112"/>
      <c r="DYV207" s="112"/>
      <c r="DYW207" s="112"/>
      <c r="DYX207" s="112"/>
      <c r="DYY207" s="112"/>
      <c r="DYZ207" s="112"/>
      <c r="DZA207" s="112"/>
      <c r="DZB207" s="112"/>
      <c r="DZC207" s="112"/>
      <c r="DZD207" s="112"/>
      <c r="DZE207" s="112"/>
      <c r="DZF207" s="112"/>
      <c r="DZG207" s="112"/>
      <c r="DZH207" s="112"/>
      <c r="DZI207" s="112"/>
      <c r="DZJ207" s="112"/>
      <c r="DZK207" s="112"/>
      <c r="DZL207" s="112"/>
      <c r="DZM207" s="112"/>
      <c r="DZN207" s="112"/>
      <c r="DZO207" s="112"/>
      <c r="DZP207" s="112"/>
      <c r="DZQ207" s="112"/>
      <c r="DZR207" s="112"/>
      <c r="DZS207" s="112"/>
      <c r="DZT207" s="112"/>
      <c r="DZU207" s="112"/>
      <c r="DZV207" s="112"/>
      <c r="DZW207" s="112"/>
      <c r="DZX207" s="112"/>
      <c r="DZY207" s="112"/>
      <c r="DZZ207" s="112"/>
      <c r="EAA207" s="112"/>
      <c r="EAB207" s="112"/>
      <c r="EAC207" s="112"/>
      <c r="EAD207" s="112"/>
      <c r="EAE207" s="112"/>
      <c r="EAF207" s="112"/>
      <c r="EAG207" s="112"/>
      <c r="EAH207" s="112"/>
      <c r="EAI207" s="112"/>
      <c r="EAJ207" s="112"/>
      <c r="EAK207" s="112"/>
      <c r="EAL207" s="112"/>
      <c r="EAM207" s="112"/>
      <c r="EAN207" s="112"/>
      <c r="EAO207" s="112"/>
      <c r="EAP207" s="112"/>
      <c r="EAQ207" s="112"/>
      <c r="EAR207" s="112"/>
      <c r="EAS207" s="112"/>
      <c r="EAT207" s="112"/>
      <c r="EAU207" s="112"/>
      <c r="EAV207" s="112"/>
      <c r="EAW207" s="112"/>
      <c r="EAX207" s="112"/>
      <c r="EAY207" s="112"/>
      <c r="EAZ207" s="112"/>
      <c r="EBA207" s="112"/>
      <c r="EBB207" s="112"/>
      <c r="EBC207" s="112"/>
      <c r="EBD207" s="112"/>
      <c r="EBE207" s="112"/>
      <c r="EBF207" s="112"/>
      <c r="EBG207" s="112"/>
      <c r="EBH207" s="112"/>
      <c r="EBI207" s="112"/>
      <c r="EBJ207" s="112"/>
      <c r="EBK207" s="112"/>
      <c r="EBL207" s="112"/>
      <c r="EBM207" s="112"/>
      <c r="EBN207" s="112"/>
      <c r="EBO207" s="112"/>
      <c r="EBP207" s="112"/>
      <c r="EBQ207" s="112"/>
      <c r="EBR207" s="112"/>
      <c r="EBS207" s="112"/>
      <c r="EBT207" s="112"/>
      <c r="EBU207" s="112"/>
      <c r="EBV207" s="112"/>
      <c r="EBW207" s="112"/>
      <c r="EBX207" s="112"/>
      <c r="EBY207" s="112"/>
      <c r="EBZ207" s="112"/>
      <c r="ECA207" s="112"/>
      <c r="ECB207" s="112"/>
      <c r="ECC207" s="112"/>
      <c r="ECD207" s="112"/>
      <c r="ECE207" s="112"/>
      <c r="ECF207" s="112"/>
      <c r="ECG207" s="112"/>
      <c r="ECH207" s="112"/>
      <c r="ECI207" s="112"/>
      <c r="ECJ207" s="112"/>
      <c r="ECK207" s="112"/>
      <c r="ECL207" s="112"/>
      <c r="ECM207" s="112"/>
      <c r="ECN207" s="112"/>
      <c r="ECO207" s="112"/>
      <c r="ECP207" s="112"/>
      <c r="ECQ207" s="112"/>
      <c r="ECR207" s="112"/>
      <c r="ECS207" s="112"/>
      <c r="ECT207" s="112"/>
      <c r="ECU207" s="112"/>
      <c r="ECV207" s="112"/>
      <c r="ECW207" s="112"/>
      <c r="ECX207" s="112"/>
      <c r="ECY207" s="112"/>
      <c r="ECZ207" s="112"/>
      <c r="EDA207" s="112"/>
      <c r="EDB207" s="112"/>
      <c r="EDC207" s="112"/>
      <c r="EDD207" s="112"/>
      <c r="EDE207" s="112"/>
      <c r="EDF207" s="112"/>
      <c r="EDG207" s="112"/>
      <c r="EDH207" s="112"/>
      <c r="EDI207" s="112"/>
      <c r="EDJ207" s="112"/>
      <c r="EDK207" s="112"/>
      <c r="EDL207" s="112"/>
      <c r="EDM207" s="112"/>
      <c r="EDN207" s="112"/>
      <c r="EDO207" s="112"/>
      <c r="EDP207" s="112"/>
      <c r="EDQ207" s="112"/>
      <c r="EDR207" s="112"/>
      <c r="EDS207" s="112"/>
      <c r="EDT207" s="112"/>
      <c r="EDU207" s="112"/>
      <c r="EDV207" s="112"/>
      <c r="EDW207" s="112"/>
      <c r="EDX207" s="112"/>
      <c r="EDY207" s="112"/>
      <c r="EDZ207" s="112"/>
      <c r="EEA207" s="112"/>
      <c r="EEB207" s="112"/>
      <c r="EEC207" s="112"/>
      <c r="EED207" s="112"/>
      <c r="EEE207" s="112"/>
      <c r="EEF207" s="112"/>
      <c r="EEG207" s="112"/>
      <c r="EEH207" s="112"/>
      <c r="EEI207" s="112"/>
      <c r="EEJ207" s="112"/>
      <c r="EEK207" s="112"/>
      <c r="EEL207" s="112"/>
      <c r="EEM207" s="112"/>
      <c r="EEN207" s="112"/>
      <c r="EEO207" s="112"/>
      <c r="EEP207" s="112"/>
      <c r="EEQ207" s="112"/>
      <c r="EER207" s="112"/>
      <c r="EES207" s="112"/>
      <c r="EET207" s="112"/>
      <c r="EEU207" s="112"/>
      <c r="EEV207" s="112"/>
      <c r="EEW207" s="112"/>
      <c r="EEX207" s="112"/>
      <c r="EEY207" s="112"/>
      <c r="EEZ207" s="112"/>
      <c r="EFA207" s="112"/>
      <c r="EFB207" s="112"/>
      <c r="EFC207" s="112"/>
      <c r="EFD207" s="112"/>
      <c r="EFE207" s="112"/>
      <c r="EFF207" s="112"/>
      <c r="EFG207" s="112"/>
      <c r="EFH207" s="112"/>
      <c r="EFI207" s="112"/>
      <c r="EFJ207" s="112"/>
      <c r="EFK207" s="112"/>
      <c r="EFL207" s="112"/>
      <c r="EFM207" s="112"/>
      <c r="EFN207" s="112"/>
      <c r="EFO207" s="112"/>
      <c r="EFP207" s="112"/>
      <c r="EFQ207" s="112"/>
      <c r="EFR207" s="112"/>
      <c r="EFS207" s="112"/>
      <c r="EFT207" s="112"/>
      <c r="EFU207" s="112"/>
      <c r="EFV207" s="112"/>
      <c r="EFW207" s="112"/>
      <c r="EFX207" s="112"/>
      <c r="EFY207" s="112"/>
      <c r="EFZ207" s="112"/>
      <c r="EGA207" s="112"/>
      <c r="EGB207" s="112"/>
      <c r="EGC207" s="112"/>
      <c r="EGD207" s="112"/>
      <c r="EGE207" s="112"/>
      <c r="EGF207" s="112"/>
      <c r="EGG207" s="112"/>
      <c r="EGH207" s="112"/>
      <c r="EGI207" s="112"/>
      <c r="EGJ207" s="112"/>
      <c r="EGK207" s="112"/>
      <c r="EGL207" s="112"/>
      <c r="EGM207" s="112"/>
      <c r="EGN207" s="112"/>
      <c r="EGO207" s="112"/>
      <c r="EGP207" s="112"/>
      <c r="EGQ207" s="112"/>
      <c r="EGR207" s="112"/>
      <c r="EGS207" s="112"/>
      <c r="EGT207" s="112"/>
      <c r="EGU207" s="112"/>
      <c r="EGV207" s="112"/>
      <c r="EGW207" s="112"/>
      <c r="EGX207" s="112"/>
      <c r="EGY207" s="112"/>
      <c r="EGZ207" s="112"/>
      <c r="EHA207" s="112"/>
      <c r="EHB207" s="112"/>
      <c r="EHC207" s="112"/>
      <c r="EHD207" s="112"/>
      <c r="EHE207" s="112"/>
      <c r="EHF207" s="112"/>
      <c r="EHG207" s="112"/>
      <c r="EHH207" s="112"/>
      <c r="EHI207" s="112"/>
      <c r="EHJ207" s="112"/>
      <c r="EHK207" s="112"/>
      <c r="EHL207" s="112"/>
      <c r="EHM207" s="112"/>
      <c r="EHN207" s="112"/>
      <c r="EHO207" s="112"/>
      <c r="EHP207" s="112"/>
      <c r="EHQ207" s="112"/>
      <c r="EHR207" s="112"/>
      <c r="EHS207" s="112"/>
      <c r="EHT207" s="112"/>
      <c r="EHU207" s="112"/>
      <c r="EHV207" s="112"/>
      <c r="EHW207" s="112"/>
      <c r="EHX207" s="112"/>
      <c r="EHY207" s="112"/>
      <c r="EHZ207" s="112"/>
      <c r="EIA207" s="112"/>
      <c r="EIB207" s="112"/>
      <c r="EIC207" s="112"/>
      <c r="EID207" s="112"/>
      <c r="EIE207" s="112"/>
      <c r="EIF207" s="112"/>
      <c r="EIG207" s="112"/>
      <c r="EIH207" s="112"/>
      <c r="EII207" s="112"/>
      <c r="EIJ207" s="112"/>
      <c r="EIK207" s="112"/>
      <c r="EIL207" s="112"/>
      <c r="EIM207" s="112"/>
      <c r="EIN207" s="112"/>
      <c r="EIO207" s="112"/>
      <c r="EIP207" s="112"/>
      <c r="EIQ207" s="112"/>
      <c r="EIR207" s="112"/>
      <c r="EIS207" s="112"/>
      <c r="EIT207" s="112"/>
      <c r="EIU207" s="112"/>
      <c r="EIV207" s="112"/>
      <c r="EIW207" s="112"/>
      <c r="EIX207" s="112"/>
      <c r="EIY207" s="112"/>
      <c r="EIZ207" s="112"/>
      <c r="EJA207" s="112"/>
      <c r="EJB207" s="112"/>
      <c r="EJC207" s="112"/>
      <c r="EJD207" s="112"/>
      <c r="EJE207" s="112"/>
      <c r="EJF207" s="112"/>
      <c r="EJG207" s="112"/>
      <c r="EJH207" s="112"/>
      <c r="EJI207" s="112"/>
      <c r="EJJ207" s="112"/>
      <c r="EJK207" s="112"/>
      <c r="EJL207" s="112"/>
      <c r="EJM207" s="112"/>
      <c r="EJN207" s="112"/>
      <c r="EJO207" s="112"/>
      <c r="EJP207" s="112"/>
      <c r="EJQ207" s="112"/>
      <c r="EJR207" s="112"/>
      <c r="EJS207" s="112"/>
      <c r="EJT207" s="112"/>
      <c r="EJU207" s="112"/>
      <c r="EJV207" s="112"/>
      <c r="EJW207" s="112"/>
      <c r="EJX207" s="112"/>
      <c r="EJY207" s="112"/>
      <c r="EJZ207" s="112"/>
      <c r="EKA207" s="112"/>
      <c r="EKB207" s="112"/>
      <c r="EKC207" s="112"/>
      <c r="EKD207" s="112"/>
      <c r="EKE207" s="112"/>
      <c r="EKF207" s="112"/>
      <c r="EKG207" s="112"/>
      <c r="EKH207" s="112"/>
      <c r="EKI207" s="112"/>
      <c r="EKJ207" s="112"/>
      <c r="EKK207" s="112"/>
      <c r="EKL207" s="112"/>
      <c r="EKM207" s="112"/>
      <c r="EKN207" s="112"/>
      <c r="EKO207" s="112"/>
      <c r="EKP207" s="112"/>
      <c r="EKQ207" s="112"/>
      <c r="EKR207" s="112"/>
      <c r="EKS207" s="112"/>
      <c r="EKT207" s="112"/>
      <c r="EKU207" s="112"/>
      <c r="EKV207" s="112"/>
      <c r="EKW207" s="112"/>
      <c r="EKX207" s="112"/>
      <c r="EKY207" s="112"/>
      <c r="EKZ207" s="112"/>
      <c r="ELA207" s="112"/>
      <c r="ELB207" s="112"/>
      <c r="ELC207" s="112"/>
      <c r="ELD207" s="112"/>
      <c r="ELE207" s="112"/>
      <c r="ELF207" s="112"/>
      <c r="ELG207" s="112"/>
      <c r="ELH207" s="112"/>
      <c r="ELI207" s="112"/>
      <c r="ELJ207" s="112"/>
      <c r="ELK207" s="112"/>
      <c r="ELL207" s="112"/>
      <c r="ELM207" s="112"/>
      <c r="ELN207" s="112"/>
      <c r="ELO207" s="112"/>
      <c r="ELP207" s="112"/>
      <c r="ELQ207" s="112"/>
      <c r="ELR207" s="112"/>
      <c r="ELS207" s="112"/>
      <c r="ELT207" s="112"/>
      <c r="ELU207" s="112"/>
      <c r="ELV207" s="112"/>
      <c r="ELW207" s="112"/>
      <c r="ELX207" s="112"/>
      <c r="ELY207" s="112"/>
      <c r="ELZ207" s="112"/>
      <c r="EMA207" s="112"/>
      <c r="EMB207" s="112"/>
      <c r="EMC207" s="112"/>
      <c r="EMD207" s="112"/>
      <c r="EME207" s="112"/>
      <c r="EMF207" s="112"/>
      <c r="EMG207" s="112"/>
      <c r="EMH207" s="112"/>
      <c r="EMI207" s="112"/>
      <c r="EMJ207" s="112"/>
      <c r="EMK207" s="112"/>
      <c r="EML207" s="112"/>
      <c r="EMM207" s="112"/>
      <c r="EMN207" s="112"/>
      <c r="EMO207" s="112"/>
      <c r="EMP207" s="112"/>
      <c r="EMQ207" s="112"/>
      <c r="EMR207" s="112"/>
      <c r="EMS207" s="112"/>
      <c r="EMT207" s="112"/>
      <c r="EMU207" s="112"/>
      <c r="EMV207" s="112"/>
      <c r="EMW207" s="112"/>
      <c r="EMX207" s="112"/>
      <c r="EMY207" s="112"/>
      <c r="EMZ207" s="112"/>
      <c r="ENA207" s="112"/>
      <c r="ENB207" s="112"/>
      <c r="ENC207" s="112"/>
      <c r="END207" s="112"/>
      <c r="ENE207" s="112"/>
      <c r="ENF207" s="112"/>
      <c r="ENG207" s="112"/>
      <c r="ENH207" s="112"/>
      <c r="ENI207" s="112"/>
      <c r="ENJ207" s="112"/>
      <c r="ENK207" s="112"/>
      <c r="ENL207" s="112"/>
      <c r="ENM207" s="112"/>
      <c r="ENN207" s="112"/>
      <c r="ENO207" s="112"/>
      <c r="ENP207" s="112"/>
      <c r="ENQ207" s="112"/>
      <c r="ENR207" s="112"/>
      <c r="ENS207" s="112"/>
      <c r="ENT207" s="112"/>
      <c r="ENU207" s="112"/>
      <c r="ENV207" s="112"/>
      <c r="ENW207" s="112"/>
      <c r="ENX207" s="112"/>
      <c r="ENY207" s="112"/>
      <c r="ENZ207" s="112"/>
      <c r="EOA207" s="112"/>
      <c r="EOB207" s="112"/>
      <c r="EOC207" s="112"/>
      <c r="EOD207" s="112"/>
      <c r="EOE207" s="112"/>
      <c r="EOF207" s="112"/>
      <c r="EOG207" s="112"/>
      <c r="EOH207" s="112"/>
      <c r="EOI207" s="112"/>
      <c r="EOJ207" s="112"/>
      <c r="EOK207" s="112"/>
      <c r="EOL207" s="112"/>
      <c r="EOM207" s="112"/>
      <c r="EON207" s="112"/>
      <c r="EOO207" s="112"/>
      <c r="EOP207" s="112"/>
      <c r="EOQ207" s="112"/>
      <c r="EOR207" s="112"/>
      <c r="EOS207" s="112"/>
      <c r="EOT207" s="112"/>
      <c r="EOU207" s="112"/>
      <c r="EOV207" s="112"/>
      <c r="EOW207" s="112"/>
      <c r="EOX207" s="112"/>
      <c r="EOY207" s="112"/>
      <c r="EOZ207" s="112"/>
      <c r="EPA207" s="112"/>
      <c r="EPB207" s="112"/>
      <c r="EPC207" s="112"/>
      <c r="EPD207" s="112"/>
      <c r="EPE207" s="112"/>
      <c r="EPF207" s="112"/>
      <c r="EPG207" s="112"/>
      <c r="EPH207" s="112"/>
      <c r="EPI207" s="112"/>
      <c r="EPJ207" s="112"/>
      <c r="EPK207" s="112"/>
      <c r="EPL207" s="112"/>
      <c r="EPM207" s="112"/>
      <c r="EPN207" s="112"/>
      <c r="EPO207" s="112"/>
      <c r="EPP207" s="112"/>
      <c r="EPQ207" s="112"/>
      <c r="EPR207" s="112"/>
      <c r="EPS207" s="112"/>
      <c r="EPT207" s="112"/>
      <c r="EPU207" s="112"/>
      <c r="EPV207" s="112"/>
      <c r="EPW207" s="112"/>
      <c r="EPX207" s="112"/>
      <c r="EPY207" s="112"/>
      <c r="EPZ207" s="112"/>
      <c r="EQA207" s="112"/>
      <c r="EQB207" s="112"/>
      <c r="EQC207" s="112"/>
      <c r="EQD207" s="112"/>
      <c r="EQE207" s="112"/>
      <c r="EQF207" s="112"/>
      <c r="EQG207" s="112"/>
      <c r="EQH207" s="112"/>
      <c r="EQI207" s="112"/>
      <c r="EQJ207" s="112"/>
      <c r="EQK207" s="112"/>
      <c r="EQL207" s="112"/>
      <c r="EQM207" s="112"/>
      <c r="EQN207" s="112"/>
      <c r="EQO207" s="112"/>
      <c r="EQP207" s="112"/>
      <c r="EQQ207" s="112"/>
      <c r="EQR207" s="112"/>
      <c r="EQS207" s="112"/>
      <c r="EQT207" s="112"/>
      <c r="EQU207" s="112"/>
      <c r="EQV207" s="112"/>
      <c r="EQW207" s="112"/>
      <c r="EQX207" s="112"/>
      <c r="EQY207" s="112"/>
      <c r="EQZ207" s="112"/>
      <c r="ERA207" s="112"/>
      <c r="ERB207" s="112"/>
      <c r="ERC207" s="112"/>
      <c r="ERD207" s="112"/>
      <c r="ERE207" s="112"/>
      <c r="ERF207" s="112"/>
      <c r="ERG207" s="112"/>
      <c r="ERH207" s="112"/>
      <c r="ERI207" s="112"/>
      <c r="ERJ207" s="112"/>
      <c r="ERK207" s="112"/>
      <c r="ERL207" s="112"/>
      <c r="ERM207" s="112"/>
      <c r="ERN207" s="112"/>
      <c r="ERO207" s="112"/>
      <c r="ERP207" s="112"/>
      <c r="ERQ207" s="112"/>
      <c r="ERR207" s="112"/>
      <c r="ERS207" s="112"/>
      <c r="ERT207" s="112"/>
      <c r="ERU207" s="112"/>
      <c r="ERV207" s="112"/>
      <c r="ERW207" s="112"/>
      <c r="ERX207" s="112"/>
      <c r="ERY207" s="112"/>
      <c r="ERZ207" s="112"/>
      <c r="ESA207" s="112"/>
      <c r="ESB207" s="112"/>
      <c r="ESC207" s="112"/>
      <c r="ESD207" s="112"/>
      <c r="ESE207" s="112"/>
      <c r="ESF207" s="112"/>
      <c r="ESG207" s="112"/>
      <c r="ESH207" s="112"/>
      <c r="ESI207" s="112"/>
      <c r="ESJ207" s="112"/>
      <c r="ESK207" s="112"/>
      <c r="ESL207" s="112"/>
      <c r="ESM207" s="112"/>
      <c r="ESN207" s="112"/>
      <c r="ESO207" s="112"/>
      <c r="ESP207" s="112"/>
      <c r="ESQ207" s="112"/>
      <c r="ESR207" s="112"/>
      <c r="ESS207" s="112"/>
      <c r="EST207" s="112"/>
      <c r="ESU207" s="112"/>
      <c r="ESV207" s="112"/>
      <c r="ESW207" s="112"/>
      <c r="ESX207" s="112"/>
      <c r="ESY207" s="112"/>
      <c r="ESZ207" s="112"/>
      <c r="ETA207" s="112"/>
      <c r="ETB207" s="112"/>
      <c r="ETC207" s="112"/>
      <c r="ETD207" s="112"/>
      <c r="ETE207" s="112"/>
      <c r="ETF207" s="112"/>
      <c r="ETG207" s="112"/>
      <c r="ETH207" s="112"/>
      <c r="ETI207" s="112"/>
      <c r="ETJ207" s="112"/>
      <c r="ETK207" s="112"/>
      <c r="ETL207" s="112"/>
      <c r="ETM207" s="112"/>
      <c r="ETN207" s="112"/>
      <c r="ETO207" s="112"/>
      <c r="ETP207" s="112"/>
      <c r="ETQ207" s="112"/>
      <c r="ETR207" s="112"/>
      <c r="ETS207" s="112"/>
      <c r="ETT207" s="112"/>
      <c r="ETU207" s="112"/>
      <c r="ETV207" s="112"/>
      <c r="ETW207" s="112"/>
      <c r="ETX207" s="112"/>
      <c r="ETY207" s="112"/>
      <c r="ETZ207" s="112"/>
      <c r="EUA207" s="112"/>
      <c r="EUB207" s="112"/>
      <c r="EUC207" s="112"/>
      <c r="EUD207" s="112"/>
      <c r="EUE207" s="112"/>
      <c r="EUF207" s="112"/>
      <c r="EUG207" s="112"/>
      <c r="EUH207" s="112"/>
      <c r="EUI207" s="112"/>
      <c r="EUJ207" s="112"/>
      <c r="EUK207" s="112"/>
      <c r="EUL207" s="112"/>
      <c r="EUM207" s="112"/>
      <c r="EUN207" s="112"/>
      <c r="EUO207" s="112"/>
      <c r="EUP207" s="112"/>
      <c r="EUQ207" s="112"/>
      <c r="EUR207" s="112"/>
      <c r="EUS207" s="112"/>
      <c r="EUT207" s="112"/>
      <c r="EUU207" s="112"/>
      <c r="EUV207" s="112"/>
      <c r="EUW207" s="112"/>
      <c r="EUX207" s="112"/>
      <c r="EUY207" s="112"/>
      <c r="EUZ207" s="112"/>
      <c r="EVA207" s="112"/>
      <c r="EVB207" s="112"/>
      <c r="EVC207" s="112"/>
      <c r="EVD207" s="112"/>
      <c r="EVE207" s="112"/>
      <c r="EVF207" s="112"/>
      <c r="EVG207" s="112"/>
      <c r="EVH207" s="112"/>
      <c r="EVI207" s="112"/>
      <c r="EVJ207" s="112"/>
      <c r="EVK207" s="112"/>
      <c r="EVL207" s="112"/>
      <c r="EVM207" s="112"/>
      <c r="EVN207" s="112"/>
      <c r="EVO207" s="112"/>
      <c r="EVP207" s="112"/>
      <c r="EVQ207" s="112"/>
      <c r="EVR207" s="112"/>
      <c r="EVS207" s="112"/>
      <c r="EVT207" s="112"/>
      <c r="EVU207" s="112"/>
      <c r="EVV207" s="112"/>
      <c r="EVW207" s="112"/>
      <c r="EVX207" s="112"/>
      <c r="EVY207" s="112"/>
      <c r="EVZ207" s="112"/>
      <c r="EWA207" s="112"/>
      <c r="EWB207" s="112"/>
      <c r="EWC207" s="112"/>
      <c r="EWD207" s="112"/>
      <c r="EWE207" s="112"/>
      <c r="EWF207" s="112"/>
      <c r="EWG207" s="112"/>
      <c r="EWH207" s="112"/>
      <c r="EWI207" s="112"/>
      <c r="EWJ207" s="112"/>
      <c r="EWK207" s="112"/>
      <c r="EWL207" s="112"/>
      <c r="EWM207" s="112"/>
      <c r="EWN207" s="112"/>
      <c r="EWO207" s="112"/>
      <c r="EWP207" s="112"/>
      <c r="EWQ207" s="112"/>
      <c r="EWR207" s="112"/>
      <c r="EWS207" s="112"/>
      <c r="EWT207" s="112"/>
      <c r="EWU207" s="112"/>
      <c r="EWV207" s="112"/>
      <c r="EWW207" s="112"/>
      <c r="EWX207" s="112"/>
      <c r="EWY207" s="112"/>
      <c r="EWZ207" s="112"/>
      <c r="EXA207" s="112"/>
      <c r="EXB207" s="112"/>
      <c r="EXC207" s="112"/>
      <c r="EXD207" s="112"/>
      <c r="EXE207" s="112"/>
      <c r="EXF207" s="112"/>
      <c r="EXG207" s="112"/>
      <c r="EXH207" s="112"/>
      <c r="EXI207" s="112"/>
      <c r="EXJ207" s="112"/>
      <c r="EXK207" s="112"/>
      <c r="EXL207" s="112"/>
      <c r="EXM207" s="112"/>
      <c r="EXN207" s="112"/>
      <c r="EXO207" s="112"/>
      <c r="EXP207" s="112"/>
      <c r="EXQ207" s="112"/>
      <c r="EXR207" s="112"/>
      <c r="EXS207" s="112"/>
      <c r="EXT207" s="112"/>
      <c r="EXU207" s="112"/>
      <c r="EXV207" s="112"/>
      <c r="EXW207" s="112"/>
      <c r="EXX207" s="112"/>
      <c r="EXY207" s="112"/>
      <c r="EXZ207" s="112"/>
      <c r="EYA207" s="112"/>
      <c r="EYB207" s="112"/>
      <c r="EYC207" s="112"/>
      <c r="EYD207" s="112"/>
      <c r="EYE207" s="112"/>
      <c r="EYF207" s="112"/>
      <c r="EYG207" s="112"/>
      <c r="EYH207" s="112"/>
      <c r="EYI207" s="112"/>
      <c r="EYJ207" s="112"/>
      <c r="EYK207" s="112"/>
      <c r="EYL207" s="112"/>
      <c r="EYM207" s="112"/>
      <c r="EYN207" s="112"/>
      <c r="EYO207" s="112"/>
      <c r="EYP207" s="112"/>
      <c r="EYQ207" s="112"/>
      <c r="EYR207" s="112"/>
      <c r="EYS207" s="112"/>
      <c r="EYT207" s="112"/>
      <c r="EYU207" s="112"/>
      <c r="EYV207" s="112"/>
      <c r="EYW207" s="112"/>
      <c r="EYX207" s="112"/>
      <c r="EYY207" s="112"/>
      <c r="EYZ207" s="112"/>
      <c r="EZA207" s="112"/>
      <c r="EZB207" s="112"/>
      <c r="EZC207" s="112"/>
      <c r="EZD207" s="112"/>
      <c r="EZE207" s="112"/>
      <c r="EZF207" s="112"/>
      <c r="EZG207" s="112"/>
      <c r="EZH207" s="112"/>
      <c r="EZI207" s="112"/>
      <c r="EZJ207" s="112"/>
      <c r="EZK207" s="112"/>
      <c r="EZL207" s="112"/>
      <c r="EZM207" s="112"/>
      <c r="EZN207" s="112"/>
      <c r="EZO207" s="112"/>
      <c r="EZP207" s="112"/>
      <c r="EZQ207" s="112"/>
      <c r="EZR207" s="112"/>
      <c r="EZS207" s="112"/>
      <c r="EZT207" s="112"/>
      <c r="EZU207" s="112"/>
      <c r="EZV207" s="112"/>
      <c r="EZW207" s="112"/>
      <c r="EZX207" s="112"/>
      <c r="EZY207" s="112"/>
      <c r="EZZ207" s="112"/>
      <c r="FAA207" s="112"/>
      <c r="FAB207" s="112"/>
      <c r="FAC207" s="112"/>
      <c r="FAD207" s="112"/>
      <c r="FAE207" s="112"/>
      <c r="FAF207" s="112"/>
      <c r="FAG207" s="112"/>
      <c r="FAH207" s="112"/>
      <c r="FAI207" s="112"/>
      <c r="FAJ207" s="112"/>
      <c r="FAK207" s="112"/>
      <c r="FAL207" s="112"/>
      <c r="FAM207" s="112"/>
      <c r="FAN207" s="112"/>
      <c r="FAO207" s="112"/>
      <c r="FAP207" s="112"/>
      <c r="FAQ207" s="112"/>
      <c r="FAR207" s="112"/>
      <c r="FAS207" s="112"/>
      <c r="FAT207" s="112"/>
      <c r="FAU207" s="112"/>
      <c r="FAV207" s="112"/>
      <c r="FAW207" s="112"/>
      <c r="FAX207" s="112"/>
      <c r="FAY207" s="112"/>
      <c r="FAZ207" s="112"/>
      <c r="FBA207" s="112"/>
      <c r="FBB207" s="112"/>
      <c r="FBC207" s="112"/>
      <c r="FBD207" s="112"/>
      <c r="FBE207" s="112"/>
      <c r="FBF207" s="112"/>
      <c r="FBG207" s="112"/>
      <c r="FBH207" s="112"/>
      <c r="FBI207" s="112"/>
      <c r="FBJ207" s="112"/>
      <c r="FBK207" s="112"/>
      <c r="FBL207" s="112"/>
      <c r="FBM207" s="112"/>
      <c r="FBN207" s="112"/>
      <c r="FBO207" s="112"/>
      <c r="FBP207" s="112"/>
      <c r="FBQ207" s="112"/>
      <c r="FBR207" s="112"/>
      <c r="FBS207" s="112"/>
      <c r="FBT207" s="112"/>
      <c r="FBU207" s="112"/>
      <c r="FBV207" s="112"/>
      <c r="FBW207" s="112"/>
      <c r="FBX207" s="112"/>
      <c r="FBY207" s="112"/>
      <c r="FBZ207" s="112"/>
      <c r="FCA207" s="112"/>
      <c r="FCB207" s="112"/>
      <c r="FCC207" s="112"/>
      <c r="FCD207" s="112"/>
      <c r="FCE207" s="112"/>
      <c r="FCF207" s="112"/>
      <c r="FCG207" s="112"/>
      <c r="FCH207" s="112"/>
      <c r="FCI207" s="112"/>
      <c r="FCJ207" s="112"/>
      <c r="FCK207" s="112"/>
      <c r="FCL207" s="112"/>
      <c r="FCM207" s="112"/>
      <c r="FCN207" s="112"/>
      <c r="FCO207" s="112"/>
      <c r="FCP207" s="112"/>
      <c r="FCQ207" s="112"/>
      <c r="FCR207" s="112"/>
      <c r="FCS207" s="112"/>
      <c r="FCT207" s="112"/>
      <c r="FCU207" s="112"/>
      <c r="FCV207" s="112"/>
      <c r="FCW207" s="112"/>
      <c r="FCX207" s="112"/>
      <c r="FCY207" s="112"/>
      <c r="FCZ207" s="112"/>
      <c r="FDA207" s="112"/>
      <c r="FDB207" s="112"/>
      <c r="FDC207" s="112"/>
      <c r="FDD207" s="112"/>
      <c r="FDE207" s="112"/>
      <c r="FDF207" s="112"/>
      <c r="FDG207" s="112"/>
      <c r="FDH207" s="112"/>
      <c r="FDI207" s="112"/>
      <c r="FDJ207" s="112"/>
      <c r="FDK207" s="112"/>
      <c r="FDL207" s="112"/>
      <c r="FDM207" s="112"/>
      <c r="FDN207" s="112"/>
      <c r="FDO207" s="112"/>
      <c r="FDP207" s="112"/>
      <c r="FDQ207" s="112"/>
      <c r="FDR207" s="112"/>
      <c r="FDS207" s="112"/>
      <c r="FDT207" s="112"/>
      <c r="FDU207" s="112"/>
      <c r="FDV207" s="112"/>
      <c r="FDW207" s="112"/>
      <c r="FDX207" s="112"/>
      <c r="FDY207" s="112"/>
      <c r="FDZ207" s="112"/>
      <c r="FEA207" s="112"/>
      <c r="FEB207" s="112"/>
      <c r="FEC207" s="112"/>
      <c r="FED207" s="112"/>
      <c r="FEE207" s="112"/>
      <c r="FEF207" s="112"/>
      <c r="FEG207" s="112"/>
      <c r="FEH207" s="112"/>
      <c r="FEI207" s="112"/>
      <c r="FEJ207" s="112"/>
      <c r="FEK207" s="112"/>
      <c r="FEL207" s="112"/>
      <c r="FEM207" s="112"/>
      <c r="FEN207" s="112"/>
      <c r="FEO207" s="112"/>
      <c r="FEP207" s="112"/>
      <c r="FEQ207" s="112"/>
      <c r="FER207" s="112"/>
      <c r="FES207" s="112"/>
      <c r="FET207" s="112"/>
      <c r="FEU207" s="112"/>
      <c r="FEV207" s="112"/>
      <c r="FEW207" s="112"/>
      <c r="FEX207" s="112"/>
      <c r="FEY207" s="112"/>
      <c r="FEZ207" s="112"/>
      <c r="FFA207" s="112"/>
      <c r="FFB207" s="112"/>
      <c r="FFC207" s="112"/>
      <c r="FFD207" s="112"/>
      <c r="FFE207" s="112"/>
      <c r="FFF207" s="112"/>
      <c r="FFG207" s="112"/>
      <c r="FFH207" s="112"/>
      <c r="FFI207" s="112"/>
      <c r="FFJ207" s="112"/>
      <c r="FFK207" s="112"/>
      <c r="FFL207" s="112"/>
      <c r="FFM207" s="112"/>
      <c r="FFN207" s="112"/>
      <c r="FFO207" s="112"/>
      <c r="FFP207" s="112"/>
      <c r="FFQ207" s="112"/>
      <c r="FFR207" s="112"/>
      <c r="FFS207" s="112"/>
      <c r="FFT207" s="112"/>
      <c r="FFU207" s="112"/>
      <c r="FFV207" s="112"/>
      <c r="FFW207" s="112"/>
      <c r="FFX207" s="112"/>
      <c r="FFY207" s="112"/>
      <c r="FFZ207" s="112"/>
      <c r="FGA207" s="112"/>
      <c r="FGB207" s="112"/>
      <c r="FGC207" s="112"/>
      <c r="FGD207" s="112"/>
      <c r="FGE207" s="112"/>
      <c r="FGF207" s="112"/>
      <c r="FGG207" s="112"/>
      <c r="FGH207" s="112"/>
      <c r="FGI207" s="112"/>
      <c r="FGJ207" s="112"/>
      <c r="FGK207" s="112"/>
      <c r="FGL207" s="112"/>
      <c r="FGM207" s="112"/>
      <c r="FGN207" s="112"/>
      <c r="FGO207" s="112"/>
      <c r="FGP207" s="112"/>
      <c r="FGQ207" s="112"/>
      <c r="FGR207" s="112"/>
      <c r="FGS207" s="112"/>
      <c r="FGT207" s="112"/>
      <c r="FGU207" s="112"/>
      <c r="FGV207" s="112"/>
      <c r="FGW207" s="112"/>
      <c r="FGX207" s="112"/>
      <c r="FGY207" s="112"/>
      <c r="FGZ207" s="112"/>
      <c r="FHA207" s="112"/>
      <c r="FHB207" s="112"/>
      <c r="FHC207" s="112"/>
      <c r="FHD207" s="112"/>
      <c r="FHE207" s="112"/>
      <c r="FHF207" s="112"/>
      <c r="FHG207" s="112"/>
      <c r="FHH207" s="112"/>
      <c r="FHI207" s="112"/>
      <c r="FHJ207" s="112"/>
      <c r="FHK207" s="112"/>
      <c r="FHL207" s="112"/>
      <c r="FHM207" s="112"/>
      <c r="FHN207" s="112"/>
      <c r="FHO207" s="112"/>
      <c r="FHP207" s="112"/>
      <c r="FHQ207" s="112"/>
      <c r="FHR207" s="112"/>
      <c r="FHS207" s="112"/>
      <c r="FHT207" s="112"/>
      <c r="FHU207" s="112"/>
      <c r="FHV207" s="112"/>
      <c r="FHW207" s="112"/>
      <c r="FHX207" s="112"/>
      <c r="FHY207" s="112"/>
      <c r="FHZ207" s="112"/>
      <c r="FIA207" s="112"/>
      <c r="FIB207" s="112"/>
      <c r="FIC207" s="112"/>
      <c r="FID207" s="112"/>
      <c r="FIE207" s="112"/>
      <c r="FIF207" s="112"/>
      <c r="FIG207" s="112"/>
      <c r="FIH207" s="112"/>
      <c r="FII207" s="112"/>
      <c r="FIJ207" s="112"/>
      <c r="FIK207" s="112"/>
      <c r="FIL207" s="112"/>
      <c r="FIM207" s="112"/>
      <c r="FIN207" s="112"/>
      <c r="FIO207" s="112"/>
      <c r="FIP207" s="112"/>
      <c r="FIQ207" s="112"/>
      <c r="FIR207" s="112"/>
      <c r="FIS207" s="112"/>
      <c r="FIT207" s="112"/>
      <c r="FIU207" s="112"/>
      <c r="FIV207" s="112"/>
      <c r="FIW207" s="112"/>
      <c r="FIX207" s="112"/>
      <c r="FIY207" s="112"/>
      <c r="FIZ207" s="112"/>
      <c r="FJA207" s="112"/>
      <c r="FJB207" s="112"/>
      <c r="FJC207" s="112"/>
      <c r="FJD207" s="112"/>
      <c r="FJE207" s="112"/>
      <c r="FJF207" s="112"/>
      <c r="FJG207" s="112"/>
      <c r="FJH207" s="112"/>
      <c r="FJI207" s="112"/>
      <c r="FJJ207" s="112"/>
      <c r="FJK207" s="112"/>
      <c r="FJL207" s="112"/>
      <c r="FJM207" s="112"/>
      <c r="FJN207" s="112"/>
      <c r="FJO207" s="112"/>
      <c r="FJP207" s="112"/>
      <c r="FJQ207" s="112"/>
      <c r="FJR207" s="112"/>
      <c r="FJS207" s="112"/>
      <c r="FJT207" s="112"/>
      <c r="FJU207" s="112"/>
      <c r="FJV207" s="112"/>
      <c r="FJW207" s="112"/>
      <c r="FJX207" s="112"/>
      <c r="FJY207" s="112"/>
      <c r="FJZ207" s="112"/>
      <c r="FKA207" s="112"/>
      <c r="FKB207" s="112"/>
      <c r="FKC207" s="112"/>
      <c r="FKD207" s="112"/>
      <c r="FKE207" s="112"/>
      <c r="FKF207" s="112"/>
      <c r="FKG207" s="112"/>
      <c r="FKH207" s="112"/>
      <c r="FKI207" s="112"/>
      <c r="FKJ207" s="112"/>
      <c r="FKK207" s="112"/>
      <c r="FKL207" s="112"/>
      <c r="FKM207" s="112"/>
      <c r="FKN207" s="112"/>
      <c r="FKO207" s="112"/>
      <c r="FKP207" s="112"/>
      <c r="FKQ207" s="112"/>
      <c r="FKR207" s="112"/>
      <c r="FKS207" s="112"/>
      <c r="FKT207" s="112"/>
      <c r="FKU207" s="112"/>
      <c r="FKV207" s="112"/>
      <c r="FKW207" s="112"/>
      <c r="FKX207" s="112"/>
      <c r="FKY207" s="112"/>
      <c r="FKZ207" s="112"/>
      <c r="FLA207" s="112"/>
      <c r="FLB207" s="112"/>
      <c r="FLC207" s="112"/>
      <c r="FLD207" s="112"/>
      <c r="FLE207" s="112"/>
      <c r="FLF207" s="112"/>
      <c r="FLG207" s="112"/>
      <c r="FLH207" s="112"/>
      <c r="FLI207" s="112"/>
      <c r="FLJ207" s="112"/>
      <c r="FLK207" s="112"/>
      <c r="FLL207" s="112"/>
      <c r="FLM207" s="112"/>
      <c r="FLN207" s="112"/>
      <c r="FLO207" s="112"/>
      <c r="FLP207" s="112"/>
      <c r="FLQ207" s="112"/>
      <c r="FLR207" s="112"/>
      <c r="FLS207" s="112"/>
      <c r="FLT207" s="112"/>
      <c r="FLU207" s="112"/>
      <c r="FLV207" s="112"/>
      <c r="FLW207" s="112"/>
      <c r="FLX207" s="112"/>
      <c r="FLY207" s="112"/>
      <c r="FLZ207" s="112"/>
      <c r="FMA207" s="112"/>
      <c r="FMB207" s="112"/>
      <c r="FMC207" s="112"/>
      <c r="FMD207" s="112"/>
      <c r="FME207" s="112"/>
      <c r="FMF207" s="112"/>
      <c r="FMG207" s="112"/>
      <c r="FMH207" s="112"/>
      <c r="FMI207" s="112"/>
      <c r="FMJ207" s="112"/>
      <c r="FMK207" s="112"/>
      <c r="FML207" s="112"/>
      <c r="FMM207" s="112"/>
      <c r="FMN207" s="112"/>
      <c r="FMO207" s="112"/>
      <c r="FMP207" s="112"/>
      <c r="FMQ207" s="112"/>
      <c r="FMR207" s="112"/>
      <c r="FMS207" s="112"/>
      <c r="FMT207" s="112"/>
      <c r="FMU207" s="112"/>
      <c r="FMV207" s="112"/>
      <c r="FMW207" s="112"/>
      <c r="FMX207" s="112"/>
      <c r="FMY207" s="112"/>
      <c r="FMZ207" s="112"/>
      <c r="FNA207" s="112"/>
      <c r="FNB207" s="112"/>
      <c r="FNC207" s="112"/>
      <c r="FND207" s="112"/>
      <c r="FNE207" s="112"/>
      <c r="FNF207" s="112"/>
      <c r="FNG207" s="112"/>
      <c r="FNH207" s="112"/>
      <c r="FNI207" s="112"/>
      <c r="FNJ207" s="112"/>
      <c r="FNK207" s="112"/>
      <c r="FNL207" s="112"/>
      <c r="FNM207" s="112"/>
      <c r="FNN207" s="112"/>
      <c r="FNO207" s="112"/>
      <c r="FNP207" s="112"/>
      <c r="FNQ207" s="112"/>
      <c r="FNR207" s="112"/>
      <c r="FNS207" s="112"/>
      <c r="FNT207" s="112"/>
      <c r="FNU207" s="112"/>
      <c r="FNV207" s="112"/>
      <c r="FNW207" s="112"/>
      <c r="FNX207" s="112"/>
      <c r="FNY207" s="112"/>
      <c r="FNZ207" s="112"/>
      <c r="FOA207" s="112"/>
      <c r="FOB207" s="112"/>
      <c r="FOC207" s="112"/>
      <c r="FOD207" s="112"/>
      <c r="FOE207" s="112"/>
      <c r="FOF207" s="112"/>
      <c r="FOG207" s="112"/>
      <c r="FOH207" s="112"/>
      <c r="FOI207" s="112"/>
      <c r="FOJ207" s="112"/>
      <c r="FOK207" s="112"/>
      <c r="FOL207" s="112"/>
      <c r="FOM207" s="112"/>
      <c r="FON207" s="112"/>
      <c r="FOO207" s="112"/>
      <c r="FOP207" s="112"/>
      <c r="FOQ207" s="112"/>
      <c r="FOR207" s="112"/>
      <c r="FOS207" s="112"/>
      <c r="FOT207" s="112"/>
      <c r="FOU207" s="112"/>
      <c r="FOV207" s="112"/>
      <c r="FOW207" s="112"/>
      <c r="FOX207" s="112"/>
      <c r="FOY207" s="112"/>
      <c r="FOZ207" s="112"/>
      <c r="FPA207" s="112"/>
      <c r="FPB207" s="112"/>
      <c r="FPC207" s="112"/>
      <c r="FPD207" s="112"/>
      <c r="FPE207" s="112"/>
      <c r="FPF207" s="112"/>
      <c r="FPG207" s="112"/>
      <c r="FPH207" s="112"/>
      <c r="FPI207" s="112"/>
      <c r="FPJ207" s="112"/>
      <c r="FPK207" s="112"/>
      <c r="FPL207" s="112"/>
      <c r="FPM207" s="112"/>
      <c r="FPN207" s="112"/>
      <c r="FPO207" s="112"/>
      <c r="FPP207" s="112"/>
      <c r="FPQ207" s="112"/>
      <c r="FPR207" s="112"/>
      <c r="FPS207" s="112"/>
      <c r="FPT207" s="112"/>
      <c r="FPU207" s="112"/>
      <c r="FPV207" s="112"/>
      <c r="FPW207" s="112"/>
      <c r="FPX207" s="112"/>
      <c r="FPY207" s="112"/>
      <c r="FPZ207" s="112"/>
      <c r="FQA207" s="112"/>
      <c r="FQB207" s="112"/>
      <c r="FQC207" s="112"/>
      <c r="FQD207" s="112"/>
      <c r="FQE207" s="112"/>
      <c r="FQF207" s="112"/>
      <c r="FQG207" s="112"/>
      <c r="FQH207" s="112"/>
      <c r="FQI207" s="112"/>
      <c r="FQJ207" s="112"/>
      <c r="FQK207" s="112"/>
      <c r="FQL207" s="112"/>
      <c r="FQM207" s="112"/>
      <c r="FQN207" s="112"/>
      <c r="FQO207" s="112"/>
      <c r="FQP207" s="112"/>
      <c r="FQQ207" s="112"/>
      <c r="FQR207" s="112"/>
      <c r="FQS207" s="112"/>
      <c r="FQT207" s="112"/>
      <c r="FQU207" s="112"/>
      <c r="FQV207" s="112"/>
      <c r="FQW207" s="112"/>
      <c r="FQX207" s="112"/>
      <c r="FQY207" s="112"/>
      <c r="FQZ207" s="112"/>
      <c r="FRA207" s="112"/>
      <c r="FRB207" s="112"/>
      <c r="FRC207" s="112"/>
      <c r="FRD207" s="112"/>
      <c r="FRE207" s="112"/>
      <c r="FRF207" s="112"/>
      <c r="FRG207" s="112"/>
      <c r="FRH207" s="112"/>
      <c r="FRI207" s="112"/>
      <c r="FRJ207" s="112"/>
      <c r="FRK207" s="112"/>
      <c r="FRL207" s="112"/>
      <c r="FRM207" s="112"/>
      <c r="FRN207" s="112"/>
      <c r="FRO207" s="112"/>
      <c r="FRP207" s="112"/>
      <c r="FRQ207" s="112"/>
      <c r="FRR207" s="112"/>
      <c r="FRS207" s="112"/>
      <c r="FRT207" s="112"/>
      <c r="FRU207" s="112"/>
      <c r="FRV207" s="112"/>
      <c r="FRW207" s="112"/>
      <c r="FRX207" s="112"/>
      <c r="FRY207" s="112"/>
      <c r="FRZ207" s="112"/>
      <c r="FSA207" s="112"/>
      <c r="FSB207" s="112"/>
      <c r="FSC207" s="112"/>
      <c r="FSD207" s="112"/>
      <c r="FSE207" s="112"/>
      <c r="FSF207" s="112"/>
      <c r="FSG207" s="112"/>
      <c r="FSH207" s="112"/>
      <c r="FSI207" s="112"/>
      <c r="FSJ207" s="112"/>
      <c r="FSK207" s="112"/>
      <c r="FSL207" s="112"/>
      <c r="FSM207" s="112"/>
      <c r="FSN207" s="112"/>
      <c r="FSO207" s="112"/>
      <c r="FSP207" s="112"/>
      <c r="FSQ207" s="112"/>
      <c r="FSR207" s="112"/>
      <c r="FSS207" s="112"/>
      <c r="FST207" s="112"/>
      <c r="FSU207" s="112"/>
      <c r="FSV207" s="112"/>
      <c r="FSW207" s="112"/>
      <c r="FSX207" s="112"/>
      <c r="FSY207" s="112"/>
      <c r="FSZ207" s="112"/>
      <c r="FTA207" s="112"/>
    </row>
    <row r="208" spans="1:4577" s="169" customFormat="1" ht="15.75">
      <c r="A208" s="355"/>
      <c r="B208" s="516"/>
      <c r="C208" s="521"/>
      <c r="D208" s="1"/>
      <c r="E208" s="152"/>
      <c r="F208" s="353"/>
      <c r="G208" s="353"/>
      <c r="H208" s="170"/>
      <c r="I208" s="170"/>
      <c r="J208" s="149"/>
      <c r="K208" s="241"/>
      <c r="L208" s="241"/>
      <c r="M208" s="175"/>
      <c r="N208" s="112"/>
      <c r="O208" s="112"/>
      <c r="P208" s="112"/>
      <c r="Q208" s="112"/>
      <c r="R208" s="112"/>
      <c r="S208" s="112"/>
      <c r="T208" s="112"/>
      <c r="U208" s="112"/>
      <c r="V208" s="112"/>
      <c r="W208" s="112"/>
      <c r="X208" s="112"/>
      <c r="Y208" s="112"/>
      <c r="Z208" s="112"/>
      <c r="AA208" s="112"/>
      <c r="AB208" s="112"/>
      <c r="AC208" s="112"/>
      <c r="AD208" s="112"/>
      <c r="AE208" s="112"/>
      <c r="AF208" s="112"/>
      <c r="AG208" s="112"/>
      <c r="AH208" s="112"/>
      <c r="AI208" s="112"/>
      <c r="AJ208" s="112"/>
      <c r="AK208" s="112"/>
      <c r="AL208" s="112"/>
      <c r="AM208" s="112"/>
      <c r="AN208" s="112"/>
      <c r="AO208" s="112"/>
      <c r="AP208" s="112"/>
      <c r="AQ208" s="112"/>
      <c r="AR208" s="112"/>
      <c r="AS208" s="112"/>
      <c r="AT208" s="112"/>
      <c r="AU208" s="112"/>
      <c r="AV208" s="112"/>
      <c r="AW208" s="112"/>
      <c r="AX208" s="112"/>
      <c r="AY208" s="112"/>
      <c r="AZ208" s="112"/>
      <c r="BA208" s="112"/>
      <c r="BB208" s="112"/>
      <c r="BC208" s="112"/>
      <c r="BD208" s="112"/>
      <c r="BE208" s="112"/>
      <c r="BF208" s="112"/>
      <c r="BG208" s="112"/>
      <c r="BH208" s="112"/>
      <c r="BI208" s="112"/>
      <c r="BJ208" s="112"/>
      <c r="BK208" s="112"/>
      <c r="BL208" s="112"/>
      <c r="BM208" s="112"/>
      <c r="BN208" s="112"/>
      <c r="BO208" s="112"/>
      <c r="BP208" s="112"/>
      <c r="BQ208" s="112"/>
      <c r="BR208" s="112"/>
      <c r="BS208" s="112"/>
      <c r="BT208" s="112"/>
      <c r="BU208" s="112"/>
      <c r="BV208" s="112"/>
      <c r="BW208" s="112"/>
      <c r="BX208" s="112"/>
      <c r="BY208" s="112"/>
      <c r="BZ208" s="112"/>
      <c r="CA208" s="112"/>
      <c r="CB208" s="112"/>
      <c r="CC208" s="112"/>
      <c r="CD208" s="112"/>
      <c r="CE208" s="112"/>
      <c r="CF208" s="112"/>
      <c r="CG208" s="112"/>
      <c r="CH208" s="112"/>
      <c r="CI208" s="112"/>
      <c r="CJ208" s="112"/>
      <c r="CK208" s="112"/>
      <c r="CL208" s="112"/>
      <c r="CM208" s="112"/>
      <c r="CN208" s="112"/>
      <c r="CO208" s="112"/>
      <c r="CP208" s="112"/>
      <c r="CQ208" s="112"/>
      <c r="CR208" s="112"/>
      <c r="CS208" s="112"/>
      <c r="CT208" s="112"/>
      <c r="CU208" s="112"/>
      <c r="CV208" s="112"/>
      <c r="CW208" s="112"/>
      <c r="CX208" s="112"/>
      <c r="CY208" s="112"/>
      <c r="CZ208" s="112"/>
      <c r="DA208" s="112"/>
      <c r="DB208" s="112"/>
      <c r="DC208" s="112"/>
      <c r="DD208" s="112"/>
      <c r="DE208" s="112"/>
      <c r="DF208" s="112"/>
      <c r="DG208" s="112"/>
      <c r="DH208" s="112"/>
      <c r="DI208" s="112"/>
      <c r="DJ208" s="112"/>
      <c r="DK208" s="112"/>
      <c r="DL208" s="112"/>
      <c r="DM208" s="112"/>
      <c r="DN208" s="112"/>
      <c r="DO208" s="112"/>
      <c r="DP208" s="112"/>
      <c r="DQ208" s="112"/>
      <c r="DR208" s="112"/>
      <c r="DS208" s="112"/>
      <c r="DT208" s="112"/>
      <c r="DU208" s="112"/>
      <c r="DV208" s="112"/>
      <c r="DW208" s="112"/>
      <c r="DX208" s="112"/>
      <c r="DY208" s="112"/>
      <c r="DZ208" s="112"/>
      <c r="EA208" s="112"/>
      <c r="EB208" s="112"/>
      <c r="EC208" s="112"/>
      <c r="ED208" s="112"/>
      <c r="EE208" s="112"/>
      <c r="EF208" s="112"/>
      <c r="EG208" s="112"/>
      <c r="EH208" s="112"/>
      <c r="EI208" s="112"/>
      <c r="EJ208" s="112"/>
      <c r="EK208" s="112"/>
      <c r="EL208" s="112"/>
      <c r="EM208" s="112"/>
      <c r="EN208" s="112"/>
      <c r="EO208" s="112"/>
      <c r="EP208" s="112"/>
      <c r="EQ208" s="112"/>
      <c r="ER208" s="112"/>
      <c r="ES208" s="112"/>
      <c r="ET208" s="112"/>
      <c r="EU208" s="112"/>
      <c r="EV208" s="112"/>
      <c r="EW208" s="112"/>
      <c r="EX208" s="112"/>
      <c r="EY208" s="112"/>
      <c r="EZ208" s="112"/>
      <c r="FA208" s="112"/>
      <c r="FB208" s="112"/>
      <c r="FC208" s="112"/>
      <c r="FD208" s="112"/>
      <c r="FE208" s="112"/>
      <c r="FF208" s="112"/>
      <c r="FG208" s="112"/>
      <c r="FH208" s="112"/>
      <c r="FI208" s="112"/>
      <c r="FJ208" s="112"/>
      <c r="FK208" s="112"/>
      <c r="FL208" s="112"/>
      <c r="FM208" s="112"/>
      <c r="FN208" s="112"/>
      <c r="FO208" s="112"/>
      <c r="FP208" s="112"/>
      <c r="FQ208" s="112"/>
      <c r="FR208" s="112"/>
      <c r="FS208" s="112"/>
      <c r="FT208" s="112"/>
      <c r="FU208" s="112"/>
      <c r="FV208" s="112"/>
      <c r="FW208" s="112"/>
      <c r="FX208" s="112"/>
      <c r="FY208" s="112"/>
      <c r="FZ208" s="112"/>
      <c r="GA208" s="112"/>
      <c r="GB208" s="112"/>
      <c r="GC208" s="112"/>
      <c r="GD208" s="112"/>
      <c r="GE208" s="112"/>
      <c r="GF208" s="112"/>
      <c r="GG208" s="112"/>
      <c r="GH208" s="112"/>
      <c r="GI208" s="112"/>
      <c r="GJ208" s="112"/>
      <c r="GK208" s="112"/>
      <c r="GL208" s="112"/>
      <c r="GM208" s="112"/>
      <c r="GN208" s="112"/>
      <c r="GO208" s="112"/>
      <c r="GP208" s="112"/>
      <c r="GQ208" s="112"/>
      <c r="GR208" s="112"/>
      <c r="GS208" s="112"/>
      <c r="GT208" s="112"/>
      <c r="GU208" s="112"/>
      <c r="GV208" s="112"/>
      <c r="GW208" s="112"/>
      <c r="GX208" s="112"/>
      <c r="GY208" s="112"/>
      <c r="GZ208" s="112"/>
      <c r="HA208" s="112"/>
      <c r="HB208" s="112"/>
      <c r="HC208" s="112"/>
      <c r="HD208" s="112"/>
      <c r="HE208" s="112"/>
      <c r="HF208" s="112"/>
      <c r="HG208" s="112"/>
      <c r="HH208" s="112"/>
      <c r="HI208" s="112"/>
      <c r="HJ208" s="112"/>
      <c r="HK208" s="112"/>
      <c r="HL208" s="112"/>
      <c r="HM208" s="112"/>
      <c r="HN208" s="112"/>
      <c r="HO208" s="112"/>
      <c r="HP208" s="112"/>
      <c r="HQ208" s="112"/>
      <c r="HR208" s="112"/>
      <c r="HS208" s="112"/>
      <c r="HT208" s="112"/>
      <c r="HU208" s="112"/>
      <c r="HV208" s="112"/>
      <c r="HW208" s="112"/>
      <c r="HX208" s="112"/>
      <c r="HY208" s="112"/>
      <c r="HZ208" s="112"/>
      <c r="IA208" s="112"/>
      <c r="IB208" s="112"/>
      <c r="IC208" s="112"/>
      <c r="ID208" s="112"/>
      <c r="IE208" s="112"/>
      <c r="IF208" s="112"/>
      <c r="IG208" s="112"/>
      <c r="IH208" s="112"/>
      <c r="II208" s="112"/>
      <c r="IJ208" s="112"/>
      <c r="IK208" s="112"/>
      <c r="IL208" s="112"/>
      <c r="IM208" s="112"/>
      <c r="IN208" s="112"/>
      <c r="IO208" s="112"/>
      <c r="IP208" s="112"/>
      <c r="IQ208" s="112"/>
      <c r="IR208" s="112"/>
      <c r="IS208" s="112"/>
      <c r="IT208" s="112"/>
      <c r="IU208" s="112"/>
      <c r="IV208" s="112"/>
      <c r="IW208" s="112"/>
      <c r="IX208" s="112"/>
      <c r="IY208" s="112"/>
      <c r="IZ208" s="112"/>
      <c r="JA208" s="112"/>
      <c r="JB208" s="112"/>
      <c r="JC208" s="112"/>
      <c r="JD208" s="112"/>
      <c r="JE208" s="112"/>
      <c r="JF208" s="112"/>
      <c r="JG208" s="112"/>
      <c r="JH208" s="112"/>
      <c r="JI208" s="112"/>
      <c r="JJ208" s="112"/>
      <c r="JK208" s="112"/>
      <c r="JL208" s="112"/>
      <c r="JM208" s="112"/>
      <c r="JN208" s="112"/>
      <c r="JO208" s="112"/>
      <c r="JP208" s="112"/>
      <c r="JQ208" s="112"/>
      <c r="JR208" s="112"/>
      <c r="JS208" s="112"/>
      <c r="JT208" s="112"/>
      <c r="JU208" s="112"/>
      <c r="JV208" s="112"/>
      <c r="JW208" s="112"/>
      <c r="JX208" s="112"/>
      <c r="JY208" s="112"/>
      <c r="JZ208" s="112"/>
      <c r="KA208" s="112"/>
      <c r="KB208" s="112"/>
      <c r="KC208" s="112"/>
      <c r="KD208" s="112"/>
      <c r="KE208" s="112"/>
      <c r="KF208" s="112"/>
      <c r="KG208" s="112"/>
      <c r="KH208" s="112"/>
      <c r="KI208" s="112"/>
      <c r="KJ208" s="112"/>
      <c r="KK208" s="112"/>
      <c r="KL208" s="112"/>
      <c r="KM208" s="112"/>
      <c r="KN208" s="112"/>
      <c r="KO208" s="112"/>
      <c r="KP208" s="112"/>
      <c r="KQ208" s="112"/>
      <c r="KR208" s="112"/>
      <c r="KS208" s="112"/>
      <c r="KT208" s="112"/>
      <c r="KU208" s="112"/>
      <c r="KV208" s="112"/>
      <c r="KW208" s="112"/>
      <c r="KX208" s="112"/>
      <c r="KY208" s="112"/>
      <c r="KZ208" s="112"/>
      <c r="LA208" s="112"/>
      <c r="LB208" s="112"/>
      <c r="LC208" s="112"/>
      <c r="LD208" s="112"/>
      <c r="LE208" s="112"/>
      <c r="LF208" s="112"/>
      <c r="LG208" s="112"/>
      <c r="LH208" s="112"/>
      <c r="LI208" s="112"/>
      <c r="LJ208" s="112"/>
      <c r="LK208" s="112"/>
      <c r="LL208" s="112"/>
      <c r="LM208" s="112"/>
      <c r="LN208" s="112"/>
      <c r="LO208" s="112"/>
      <c r="LP208" s="112"/>
      <c r="LQ208" s="112"/>
      <c r="LR208" s="112"/>
      <c r="LS208" s="112"/>
      <c r="LT208" s="112"/>
      <c r="LU208" s="112"/>
      <c r="LV208" s="112"/>
      <c r="LW208" s="112"/>
      <c r="LX208" s="112"/>
      <c r="LY208" s="112"/>
      <c r="LZ208" s="112"/>
      <c r="MA208" s="112"/>
      <c r="MB208" s="112"/>
      <c r="MC208" s="112"/>
      <c r="MD208" s="112"/>
      <c r="ME208" s="112"/>
      <c r="MF208" s="112"/>
      <c r="MG208" s="112"/>
      <c r="MH208" s="112"/>
      <c r="MI208" s="112"/>
      <c r="MJ208" s="112"/>
      <c r="MK208" s="112"/>
      <c r="ML208" s="112"/>
      <c r="MM208" s="112"/>
      <c r="MN208" s="112"/>
      <c r="MO208" s="112"/>
      <c r="MP208" s="112"/>
      <c r="MQ208" s="112"/>
      <c r="MR208" s="112"/>
      <c r="MS208" s="112"/>
      <c r="MT208" s="112"/>
      <c r="MU208" s="112"/>
      <c r="MV208" s="112"/>
      <c r="MW208" s="112"/>
      <c r="MX208" s="112"/>
      <c r="MY208" s="112"/>
      <c r="MZ208" s="112"/>
      <c r="NA208" s="112"/>
      <c r="NB208" s="112"/>
      <c r="NC208" s="112"/>
      <c r="ND208" s="112"/>
      <c r="NE208" s="112"/>
      <c r="NF208" s="112"/>
      <c r="NG208" s="112"/>
      <c r="NH208" s="112"/>
      <c r="NI208" s="112"/>
      <c r="NJ208" s="112"/>
      <c r="NK208" s="112"/>
      <c r="NL208" s="112"/>
      <c r="NM208" s="112"/>
      <c r="NN208" s="112"/>
      <c r="NO208" s="112"/>
      <c r="NP208" s="112"/>
      <c r="NQ208" s="112"/>
      <c r="NR208" s="112"/>
      <c r="NS208" s="112"/>
      <c r="NT208" s="112"/>
      <c r="NU208" s="112"/>
      <c r="NV208" s="112"/>
      <c r="NW208" s="112"/>
      <c r="NX208" s="112"/>
      <c r="NY208" s="112"/>
      <c r="NZ208" s="112"/>
      <c r="OA208" s="112"/>
      <c r="OB208" s="112"/>
      <c r="OC208" s="112"/>
      <c r="OD208" s="112"/>
      <c r="OE208" s="112"/>
      <c r="OF208" s="112"/>
      <c r="OG208" s="112"/>
      <c r="OH208" s="112"/>
      <c r="OI208" s="112"/>
      <c r="OJ208" s="112"/>
      <c r="OK208" s="112"/>
      <c r="OL208" s="112"/>
      <c r="OM208" s="112"/>
      <c r="ON208" s="112"/>
      <c r="OO208" s="112"/>
      <c r="OP208" s="112"/>
      <c r="OQ208" s="112"/>
      <c r="OR208" s="112"/>
      <c r="OS208" s="112"/>
      <c r="OT208" s="112"/>
      <c r="OU208" s="112"/>
      <c r="OV208" s="112"/>
      <c r="OW208" s="112"/>
      <c r="OX208" s="112"/>
      <c r="OY208" s="112"/>
      <c r="OZ208" s="112"/>
      <c r="PA208" s="112"/>
      <c r="PB208" s="112"/>
      <c r="PC208" s="112"/>
      <c r="PD208" s="112"/>
      <c r="PE208" s="112"/>
      <c r="PF208" s="112"/>
      <c r="PG208" s="112"/>
      <c r="PH208" s="112"/>
      <c r="PI208" s="112"/>
      <c r="PJ208" s="112"/>
      <c r="PK208" s="112"/>
      <c r="PL208" s="112"/>
      <c r="PM208" s="112"/>
      <c r="PN208" s="112"/>
      <c r="PO208" s="112"/>
      <c r="PP208" s="112"/>
      <c r="PQ208" s="112"/>
      <c r="PR208" s="112"/>
      <c r="PS208" s="112"/>
      <c r="PT208" s="112"/>
      <c r="PU208" s="112"/>
      <c r="PV208" s="112"/>
      <c r="PW208" s="112"/>
      <c r="PX208" s="112"/>
      <c r="PY208" s="112"/>
      <c r="PZ208" s="112"/>
      <c r="QA208" s="112"/>
      <c r="QB208" s="112"/>
      <c r="QC208" s="112"/>
      <c r="QD208" s="112"/>
      <c r="QE208" s="112"/>
      <c r="QF208" s="112"/>
      <c r="QG208" s="112"/>
      <c r="QH208" s="112"/>
      <c r="QI208" s="112"/>
      <c r="QJ208" s="112"/>
      <c r="QK208" s="112"/>
      <c r="QL208" s="112"/>
      <c r="QM208" s="112"/>
      <c r="QN208" s="112"/>
      <c r="QO208" s="112"/>
      <c r="QP208" s="112"/>
      <c r="QQ208" s="112"/>
      <c r="QR208" s="112"/>
      <c r="QS208" s="112"/>
      <c r="QT208" s="112"/>
      <c r="QU208" s="112"/>
      <c r="QV208" s="112"/>
      <c r="QW208" s="112"/>
      <c r="QX208" s="112"/>
      <c r="QY208" s="112"/>
      <c r="QZ208" s="112"/>
      <c r="RA208" s="112"/>
      <c r="RB208" s="112"/>
      <c r="RC208" s="112"/>
      <c r="RD208" s="112"/>
      <c r="RE208" s="112"/>
      <c r="RF208" s="112"/>
      <c r="RG208" s="112"/>
      <c r="RH208" s="112"/>
      <c r="RI208" s="112"/>
      <c r="RJ208" s="112"/>
      <c r="RK208" s="112"/>
      <c r="RL208" s="112"/>
      <c r="RM208" s="112"/>
      <c r="RN208" s="112"/>
      <c r="RO208" s="112"/>
      <c r="RP208" s="112"/>
      <c r="RQ208" s="112"/>
      <c r="RR208" s="112"/>
      <c r="RS208" s="112"/>
      <c r="RT208" s="112"/>
      <c r="RU208" s="112"/>
      <c r="RV208" s="112"/>
      <c r="RW208" s="112"/>
      <c r="RX208" s="112"/>
      <c r="RY208" s="112"/>
      <c r="RZ208" s="112"/>
      <c r="SA208" s="112"/>
      <c r="SB208" s="112"/>
      <c r="SC208" s="112"/>
      <c r="SD208" s="112"/>
      <c r="SE208" s="112"/>
      <c r="SF208" s="112"/>
      <c r="SG208" s="112"/>
      <c r="SH208" s="112"/>
      <c r="SI208" s="112"/>
      <c r="SJ208" s="112"/>
      <c r="SK208" s="112"/>
      <c r="SL208" s="112"/>
      <c r="SM208" s="112"/>
      <c r="SN208" s="112"/>
      <c r="SO208" s="112"/>
      <c r="SP208" s="112"/>
      <c r="SQ208" s="112"/>
      <c r="SR208" s="112"/>
      <c r="SS208" s="112"/>
      <c r="ST208" s="112"/>
      <c r="SU208" s="112"/>
      <c r="SV208" s="112"/>
      <c r="SW208" s="112"/>
      <c r="SX208" s="112"/>
      <c r="SY208" s="112"/>
      <c r="SZ208" s="112"/>
      <c r="TA208" s="112"/>
      <c r="TB208" s="112"/>
      <c r="TC208" s="112"/>
      <c r="TD208" s="112"/>
      <c r="TE208" s="112"/>
      <c r="TF208" s="112"/>
      <c r="TG208" s="112"/>
      <c r="TH208" s="112"/>
      <c r="TI208" s="112"/>
      <c r="TJ208" s="112"/>
      <c r="TK208" s="112"/>
      <c r="TL208" s="112"/>
      <c r="TM208" s="112"/>
      <c r="TN208" s="112"/>
      <c r="TO208" s="112"/>
      <c r="TP208" s="112"/>
      <c r="TQ208" s="112"/>
      <c r="TR208" s="112"/>
      <c r="TS208" s="112"/>
      <c r="TT208" s="112"/>
      <c r="TU208" s="112"/>
      <c r="TV208" s="112"/>
      <c r="TW208" s="112"/>
      <c r="TX208" s="112"/>
      <c r="TY208" s="112"/>
      <c r="TZ208" s="112"/>
      <c r="UA208" s="112"/>
      <c r="UB208" s="112"/>
      <c r="UC208" s="112"/>
      <c r="UD208" s="112"/>
      <c r="UE208" s="112"/>
      <c r="UF208" s="112"/>
      <c r="UG208" s="112"/>
      <c r="UH208" s="112"/>
      <c r="UI208" s="112"/>
      <c r="UJ208" s="112"/>
      <c r="UK208" s="112"/>
      <c r="UL208" s="112"/>
      <c r="UM208" s="112"/>
      <c r="UN208" s="112"/>
      <c r="UO208" s="112"/>
      <c r="UP208" s="112"/>
      <c r="UQ208" s="112"/>
      <c r="UR208" s="112"/>
      <c r="US208" s="112"/>
      <c r="UT208" s="112"/>
      <c r="UU208" s="112"/>
      <c r="UV208" s="112"/>
      <c r="UW208" s="112"/>
      <c r="UX208" s="112"/>
      <c r="UY208" s="112"/>
      <c r="UZ208" s="112"/>
      <c r="VA208" s="112"/>
      <c r="VB208" s="112"/>
      <c r="VC208" s="112"/>
      <c r="VD208" s="112"/>
      <c r="VE208" s="112"/>
      <c r="VF208" s="112"/>
      <c r="VG208" s="112"/>
      <c r="VH208" s="112"/>
      <c r="VI208" s="112"/>
      <c r="VJ208" s="112"/>
      <c r="VK208" s="112"/>
      <c r="VL208" s="112"/>
      <c r="VM208" s="112"/>
      <c r="VN208" s="112"/>
      <c r="VO208" s="112"/>
      <c r="VP208" s="112"/>
      <c r="VQ208" s="112"/>
      <c r="VR208" s="112"/>
      <c r="VS208" s="112"/>
      <c r="VT208" s="112"/>
      <c r="VU208" s="112"/>
      <c r="VV208" s="112"/>
      <c r="VW208" s="112"/>
      <c r="VX208" s="112"/>
      <c r="VY208" s="112"/>
      <c r="VZ208" s="112"/>
      <c r="WA208" s="112"/>
      <c r="WB208" s="112"/>
      <c r="WC208" s="112"/>
      <c r="WD208" s="112"/>
      <c r="WE208" s="112"/>
      <c r="WF208" s="112"/>
      <c r="WG208" s="112"/>
      <c r="WH208" s="112"/>
      <c r="WI208" s="112"/>
      <c r="WJ208" s="112"/>
      <c r="WK208" s="112"/>
      <c r="WL208" s="112"/>
      <c r="WM208" s="112"/>
      <c r="WN208" s="112"/>
      <c r="WO208" s="112"/>
      <c r="WP208" s="112"/>
      <c r="WQ208" s="112"/>
      <c r="WR208" s="112"/>
      <c r="WS208" s="112"/>
      <c r="WT208" s="112"/>
      <c r="WU208" s="112"/>
      <c r="WV208" s="112"/>
      <c r="WW208" s="112"/>
      <c r="WX208" s="112"/>
      <c r="WY208" s="112"/>
      <c r="WZ208" s="112"/>
      <c r="XA208" s="112"/>
      <c r="XB208" s="112"/>
      <c r="XC208" s="112"/>
      <c r="XD208" s="112"/>
      <c r="XE208" s="112"/>
      <c r="XF208" s="112"/>
      <c r="XG208" s="112"/>
      <c r="XH208" s="112"/>
      <c r="XI208" s="112"/>
      <c r="XJ208" s="112"/>
      <c r="XK208" s="112"/>
      <c r="XL208" s="112"/>
      <c r="XM208" s="112"/>
      <c r="XN208" s="112"/>
      <c r="XO208" s="112"/>
      <c r="XP208" s="112"/>
      <c r="XQ208" s="112"/>
      <c r="XR208" s="112"/>
      <c r="XS208" s="112"/>
      <c r="XT208" s="112"/>
      <c r="XU208" s="112"/>
      <c r="XV208" s="112"/>
      <c r="XW208" s="112"/>
      <c r="XX208" s="112"/>
      <c r="XY208" s="112"/>
      <c r="XZ208" s="112"/>
      <c r="YA208" s="112"/>
      <c r="YB208" s="112"/>
      <c r="YC208" s="112"/>
      <c r="YD208" s="112"/>
      <c r="YE208" s="112"/>
      <c r="YF208" s="112"/>
      <c r="YG208" s="112"/>
      <c r="YH208" s="112"/>
      <c r="YI208" s="112"/>
      <c r="YJ208" s="112"/>
      <c r="YK208" s="112"/>
      <c r="YL208" s="112"/>
      <c r="YM208" s="112"/>
      <c r="YN208" s="112"/>
      <c r="YO208" s="112"/>
      <c r="YP208" s="112"/>
      <c r="YQ208" s="112"/>
      <c r="YR208" s="112"/>
      <c r="YS208" s="112"/>
      <c r="YT208" s="112"/>
      <c r="YU208" s="112"/>
      <c r="YV208" s="112"/>
      <c r="YW208" s="112"/>
      <c r="YX208" s="112"/>
      <c r="YY208" s="112"/>
      <c r="YZ208" s="112"/>
      <c r="ZA208" s="112"/>
      <c r="ZB208" s="112"/>
      <c r="ZC208" s="112"/>
      <c r="ZD208" s="112"/>
      <c r="ZE208" s="112"/>
      <c r="ZF208" s="112"/>
      <c r="ZG208" s="112"/>
      <c r="ZH208" s="112"/>
      <c r="ZI208" s="112"/>
      <c r="ZJ208" s="112"/>
      <c r="ZK208" s="112"/>
      <c r="ZL208" s="112"/>
      <c r="ZM208" s="112"/>
      <c r="ZN208" s="112"/>
      <c r="ZO208" s="112"/>
      <c r="ZP208" s="112"/>
      <c r="ZQ208" s="112"/>
      <c r="ZR208" s="112"/>
      <c r="ZS208" s="112"/>
      <c r="ZT208" s="112"/>
      <c r="ZU208" s="112"/>
      <c r="ZV208" s="112"/>
      <c r="ZW208" s="112"/>
      <c r="ZX208" s="112"/>
      <c r="ZY208" s="112"/>
      <c r="ZZ208" s="112"/>
      <c r="AAA208" s="112"/>
      <c r="AAB208" s="112"/>
      <c r="AAC208" s="112"/>
      <c r="AAD208" s="112"/>
      <c r="AAE208" s="112"/>
      <c r="AAF208" s="112"/>
      <c r="AAG208" s="112"/>
      <c r="AAH208" s="112"/>
      <c r="AAI208" s="112"/>
      <c r="AAJ208" s="112"/>
      <c r="AAK208" s="112"/>
      <c r="AAL208" s="112"/>
      <c r="AAM208" s="112"/>
      <c r="AAN208" s="112"/>
      <c r="AAO208" s="112"/>
      <c r="AAP208" s="112"/>
      <c r="AAQ208" s="112"/>
      <c r="AAR208" s="112"/>
      <c r="AAS208" s="112"/>
      <c r="AAT208" s="112"/>
      <c r="AAU208" s="112"/>
      <c r="AAV208" s="112"/>
      <c r="AAW208" s="112"/>
      <c r="AAX208" s="112"/>
      <c r="AAY208" s="112"/>
      <c r="AAZ208" s="112"/>
      <c r="ABA208" s="112"/>
      <c r="ABB208" s="112"/>
      <c r="ABC208" s="112"/>
      <c r="ABD208" s="112"/>
      <c r="ABE208" s="112"/>
      <c r="ABF208" s="112"/>
      <c r="ABG208" s="112"/>
      <c r="ABH208" s="112"/>
      <c r="ABI208" s="112"/>
      <c r="ABJ208" s="112"/>
      <c r="ABK208" s="112"/>
      <c r="ABL208" s="112"/>
      <c r="ABM208" s="112"/>
      <c r="ABN208" s="112"/>
      <c r="ABO208" s="112"/>
      <c r="ABP208" s="112"/>
      <c r="ABQ208" s="112"/>
      <c r="ABR208" s="112"/>
      <c r="ABS208" s="112"/>
      <c r="ABT208" s="112"/>
      <c r="ABU208" s="112"/>
      <c r="ABV208" s="112"/>
      <c r="ABW208" s="112"/>
      <c r="ABX208" s="112"/>
      <c r="ABY208" s="112"/>
      <c r="ABZ208" s="112"/>
      <c r="ACA208" s="112"/>
      <c r="ACB208" s="112"/>
      <c r="ACC208" s="112"/>
      <c r="ACD208" s="112"/>
      <c r="ACE208" s="112"/>
      <c r="ACF208" s="112"/>
      <c r="ACG208" s="112"/>
      <c r="ACH208" s="112"/>
      <c r="ACI208" s="112"/>
      <c r="ACJ208" s="112"/>
      <c r="ACK208" s="112"/>
      <c r="ACL208" s="112"/>
      <c r="ACM208" s="112"/>
      <c r="ACN208" s="112"/>
      <c r="ACO208" s="112"/>
      <c r="ACP208" s="112"/>
      <c r="ACQ208" s="112"/>
      <c r="ACR208" s="112"/>
      <c r="ACS208" s="112"/>
      <c r="ACT208" s="112"/>
      <c r="ACU208" s="112"/>
      <c r="ACV208" s="112"/>
      <c r="ACW208" s="112"/>
      <c r="ACX208" s="112"/>
      <c r="ACY208" s="112"/>
      <c r="ACZ208" s="112"/>
      <c r="ADA208" s="112"/>
      <c r="ADB208" s="112"/>
      <c r="ADC208" s="112"/>
      <c r="ADD208" s="112"/>
      <c r="ADE208" s="112"/>
      <c r="ADF208" s="112"/>
      <c r="ADG208" s="112"/>
      <c r="ADH208" s="112"/>
      <c r="ADI208" s="112"/>
      <c r="ADJ208" s="112"/>
      <c r="ADK208" s="112"/>
      <c r="ADL208" s="112"/>
      <c r="ADM208" s="112"/>
      <c r="ADN208" s="112"/>
      <c r="ADO208" s="112"/>
      <c r="ADP208" s="112"/>
      <c r="ADQ208" s="112"/>
      <c r="ADR208" s="112"/>
      <c r="ADS208" s="112"/>
      <c r="ADT208" s="112"/>
      <c r="ADU208" s="112"/>
      <c r="ADV208" s="112"/>
      <c r="ADW208" s="112"/>
      <c r="ADX208" s="112"/>
      <c r="ADY208" s="112"/>
      <c r="ADZ208" s="112"/>
      <c r="AEA208" s="112"/>
      <c r="AEB208" s="112"/>
      <c r="AEC208" s="112"/>
      <c r="AED208" s="112"/>
      <c r="AEE208" s="112"/>
      <c r="AEF208" s="112"/>
      <c r="AEG208" s="112"/>
      <c r="AEH208" s="112"/>
      <c r="AEI208" s="112"/>
      <c r="AEJ208" s="112"/>
      <c r="AEK208" s="112"/>
      <c r="AEL208" s="112"/>
      <c r="AEM208" s="112"/>
      <c r="AEN208" s="112"/>
      <c r="AEO208" s="112"/>
      <c r="AEP208" s="112"/>
      <c r="AEQ208" s="112"/>
      <c r="AER208" s="112"/>
      <c r="AES208" s="112"/>
      <c r="AET208" s="112"/>
      <c r="AEU208" s="112"/>
      <c r="AEV208" s="112"/>
      <c r="AEW208" s="112"/>
      <c r="AEX208" s="112"/>
      <c r="AEY208" s="112"/>
      <c r="AEZ208" s="112"/>
      <c r="AFA208" s="112"/>
      <c r="AFB208" s="112"/>
      <c r="AFC208" s="112"/>
      <c r="AFD208" s="112"/>
      <c r="AFE208" s="112"/>
      <c r="AFF208" s="112"/>
      <c r="AFG208" s="112"/>
      <c r="AFH208" s="112"/>
      <c r="AFI208" s="112"/>
      <c r="AFJ208" s="112"/>
      <c r="AFK208" s="112"/>
      <c r="AFL208" s="112"/>
      <c r="AFM208" s="112"/>
      <c r="AFN208" s="112"/>
      <c r="AFO208" s="112"/>
      <c r="AFP208" s="112"/>
      <c r="AFQ208" s="112"/>
      <c r="AFR208" s="112"/>
      <c r="AFS208" s="112"/>
      <c r="AFT208" s="112"/>
      <c r="AFU208" s="112"/>
      <c r="AFV208" s="112"/>
      <c r="AFW208" s="112"/>
      <c r="AFX208" s="112"/>
      <c r="AFY208" s="112"/>
      <c r="AFZ208" s="112"/>
      <c r="AGA208" s="112"/>
      <c r="AGB208" s="112"/>
      <c r="AGC208" s="112"/>
      <c r="AGD208" s="112"/>
      <c r="AGE208" s="112"/>
      <c r="AGF208" s="112"/>
      <c r="AGG208" s="112"/>
      <c r="AGH208" s="112"/>
      <c r="AGI208" s="112"/>
      <c r="AGJ208" s="112"/>
      <c r="AGK208" s="112"/>
      <c r="AGL208" s="112"/>
      <c r="AGM208" s="112"/>
      <c r="AGN208" s="112"/>
      <c r="AGO208" s="112"/>
      <c r="AGP208" s="112"/>
      <c r="AGQ208" s="112"/>
      <c r="AGR208" s="112"/>
      <c r="AGS208" s="112"/>
      <c r="AGT208" s="112"/>
      <c r="AGU208" s="112"/>
      <c r="AGV208" s="112"/>
      <c r="AGW208" s="112"/>
      <c r="AGX208" s="112"/>
      <c r="AGY208" s="112"/>
      <c r="AGZ208" s="112"/>
      <c r="AHA208" s="112"/>
      <c r="AHB208" s="112"/>
      <c r="AHC208" s="112"/>
      <c r="AHD208" s="112"/>
      <c r="AHE208" s="112"/>
      <c r="AHF208" s="112"/>
      <c r="AHG208" s="112"/>
      <c r="AHH208" s="112"/>
      <c r="AHI208" s="112"/>
      <c r="AHJ208" s="112"/>
      <c r="AHK208" s="112"/>
      <c r="AHL208" s="112"/>
      <c r="AHM208" s="112"/>
      <c r="AHN208" s="112"/>
      <c r="AHO208" s="112"/>
      <c r="AHP208" s="112"/>
      <c r="AHQ208" s="112"/>
      <c r="AHR208" s="112"/>
      <c r="AHS208" s="112"/>
      <c r="AHT208" s="112"/>
      <c r="AHU208" s="112"/>
      <c r="AHV208" s="112"/>
      <c r="AHW208" s="112"/>
      <c r="AHX208" s="112"/>
      <c r="AHY208" s="112"/>
      <c r="AHZ208" s="112"/>
      <c r="AIA208" s="112"/>
      <c r="AIB208" s="112"/>
      <c r="AIC208" s="112"/>
      <c r="AID208" s="112"/>
      <c r="AIE208" s="112"/>
      <c r="AIF208" s="112"/>
      <c r="AIG208" s="112"/>
      <c r="AIH208" s="112"/>
      <c r="AII208" s="112"/>
      <c r="AIJ208" s="112"/>
      <c r="AIK208" s="112"/>
      <c r="AIL208" s="112"/>
      <c r="AIM208" s="112"/>
      <c r="AIN208" s="112"/>
      <c r="AIO208" s="112"/>
      <c r="AIP208" s="112"/>
      <c r="AIQ208" s="112"/>
      <c r="AIR208" s="112"/>
      <c r="AIS208" s="112"/>
      <c r="AIT208" s="112"/>
      <c r="AIU208" s="112"/>
      <c r="AIV208" s="112"/>
      <c r="AIW208" s="112"/>
      <c r="AIX208" s="112"/>
      <c r="AIY208" s="112"/>
      <c r="AIZ208" s="112"/>
      <c r="AJA208" s="112"/>
      <c r="AJB208" s="112"/>
      <c r="AJC208" s="112"/>
      <c r="AJD208" s="112"/>
      <c r="AJE208" s="112"/>
      <c r="AJF208" s="112"/>
      <c r="AJG208" s="112"/>
      <c r="AJH208" s="112"/>
      <c r="AJI208" s="112"/>
      <c r="AJJ208" s="112"/>
      <c r="AJK208" s="112"/>
      <c r="AJL208" s="112"/>
      <c r="AJM208" s="112"/>
      <c r="AJN208" s="112"/>
      <c r="AJO208" s="112"/>
      <c r="AJP208" s="112"/>
      <c r="AJQ208" s="112"/>
      <c r="AJR208" s="112"/>
      <c r="AJS208" s="112"/>
      <c r="AJT208" s="112"/>
      <c r="AJU208" s="112"/>
      <c r="AJV208" s="112"/>
      <c r="AJW208" s="112"/>
      <c r="AJX208" s="112"/>
      <c r="AJY208" s="112"/>
      <c r="AJZ208" s="112"/>
      <c r="AKA208" s="112"/>
      <c r="AKB208" s="112"/>
      <c r="AKC208" s="112"/>
      <c r="AKD208" s="112"/>
      <c r="AKE208" s="112"/>
      <c r="AKF208" s="112"/>
      <c r="AKG208" s="112"/>
      <c r="AKH208" s="112"/>
      <c r="AKI208" s="112"/>
      <c r="AKJ208" s="112"/>
      <c r="AKK208" s="112"/>
      <c r="AKL208" s="112"/>
      <c r="AKM208" s="112"/>
      <c r="AKN208" s="112"/>
      <c r="AKO208" s="112"/>
      <c r="AKP208" s="112"/>
      <c r="AKQ208" s="112"/>
      <c r="AKR208" s="112"/>
      <c r="AKS208" s="112"/>
      <c r="AKT208" s="112"/>
      <c r="AKU208" s="112"/>
      <c r="AKV208" s="112"/>
      <c r="AKW208" s="112"/>
      <c r="AKX208" s="112"/>
      <c r="AKY208" s="112"/>
      <c r="AKZ208" s="112"/>
      <c r="ALA208" s="112"/>
      <c r="ALB208" s="112"/>
      <c r="ALC208" s="112"/>
      <c r="ALD208" s="112"/>
      <c r="ALE208" s="112"/>
      <c r="ALF208" s="112"/>
      <c r="ALG208" s="112"/>
      <c r="ALH208" s="112"/>
      <c r="ALI208" s="112"/>
      <c r="ALJ208" s="112"/>
      <c r="ALK208" s="112"/>
      <c r="ALL208" s="112"/>
      <c r="ALM208" s="112"/>
      <c r="ALN208" s="112"/>
      <c r="ALO208" s="112"/>
      <c r="ALP208" s="112"/>
      <c r="ALQ208" s="112"/>
      <c r="ALR208" s="112"/>
      <c r="ALS208" s="112"/>
      <c r="ALT208" s="112"/>
      <c r="ALU208" s="112"/>
      <c r="ALV208" s="112"/>
      <c r="ALW208" s="112"/>
      <c r="ALX208" s="112"/>
      <c r="ALY208" s="112"/>
      <c r="ALZ208" s="112"/>
      <c r="AMA208" s="112"/>
      <c r="AMB208" s="112"/>
      <c r="AMC208" s="112"/>
      <c r="AMD208" s="112"/>
      <c r="AME208" s="112"/>
      <c r="AMF208" s="112"/>
      <c r="AMG208" s="112"/>
      <c r="AMH208" s="112"/>
      <c r="AMI208" s="112"/>
      <c r="AMJ208" s="112"/>
      <c r="AMK208" s="112"/>
      <c r="AML208" s="112"/>
      <c r="AMM208" s="112"/>
      <c r="AMN208" s="112"/>
      <c r="AMO208" s="112"/>
      <c r="AMP208" s="112"/>
      <c r="AMQ208" s="112"/>
      <c r="AMR208" s="112"/>
      <c r="AMS208" s="112"/>
      <c r="AMT208" s="112"/>
      <c r="AMU208" s="112"/>
      <c r="AMV208" s="112"/>
      <c r="AMW208" s="112"/>
      <c r="AMX208" s="112"/>
      <c r="AMY208" s="112"/>
      <c r="AMZ208" s="112"/>
      <c r="ANA208" s="112"/>
      <c r="ANB208" s="112"/>
      <c r="ANC208" s="112"/>
      <c r="AND208" s="112"/>
      <c r="ANE208" s="112"/>
      <c r="ANF208" s="112"/>
      <c r="ANG208" s="112"/>
      <c r="ANH208" s="112"/>
      <c r="ANI208" s="112"/>
      <c r="ANJ208" s="112"/>
      <c r="ANK208" s="112"/>
      <c r="ANL208" s="112"/>
      <c r="ANM208" s="112"/>
      <c r="ANN208" s="112"/>
      <c r="ANO208" s="112"/>
      <c r="ANP208" s="112"/>
      <c r="ANQ208" s="112"/>
      <c r="ANR208" s="112"/>
      <c r="ANS208" s="112"/>
      <c r="ANT208" s="112"/>
      <c r="ANU208" s="112"/>
      <c r="ANV208" s="112"/>
      <c r="ANW208" s="112"/>
      <c r="ANX208" s="112"/>
      <c r="ANY208" s="112"/>
      <c r="ANZ208" s="112"/>
      <c r="AOA208" s="112"/>
      <c r="AOB208" s="112"/>
      <c r="AOC208" s="112"/>
      <c r="AOD208" s="112"/>
      <c r="AOE208" s="112"/>
      <c r="AOF208" s="112"/>
      <c r="AOG208" s="112"/>
      <c r="AOH208" s="112"/>
      <c r="AOI208" s="112"/>
      <c r="AOJ208" s="112"/>
      <c r="AOK208" s="112"/>
      <c r="AOL208" s="112"/>
      <c r="AOM208" s="112"/>
      <c r="AON208" s="112"/>
      <c r="AOO208" s="112"/>
      <c r="AOP208" s="112"/>
      <c r="AOQ208" s="112"/>
      <c r="AOR208" s="112"/>
      <c r="AOS208" s="112"/>
      <c r="AOT208" s="112"/>
      <c r="AOU208" s="112"/>
      <c r="AOV208" s="112"/>
      <c r="AOW208" s="112"/>
      <c r="AOX208" s="112"/>
      <c r="AOY208" s="112"/>
      <c r="AOZ208" s="112"/>
      <c r="APA208" s="112"/>
      <c r="APB208" s="112"/>
      <c r="APC208" s="112"/>
      <c r="APD208" s="112"/>
      <c r="APE208" s="112"/>
      <c r="APF208" s="112"/>
      <c r="APG208" s="112"/>
      <c r="APH208" s="112"/>
      <c r="API208" s="112"/>
      <c r="APJ208" s="112"/>
      <c r="APK208" s="112"/>
      <c r="APL208" s="112"/>
      <c r="APM208" s="112"/>
      <c r="APN208" s="112"/>
      <c r="APO208" s="112"/>
      <c r="APP208" s="112"/>
      <c r="APQ208" s="112"/>
      <c r="APR208" s="112"/>
      <c r="APS208" s="112"/>
      <c r="APT208" s="112"/>
      <c r="APU208" s="112"/>
      <c r="APV208" s="112"/>
      <c r="APW208" s="112"/>
      <c r="APX208" s="112"/>
      <c r="APY208" s="112"/>
      <c r="APZ208" s="112"/>
      <c r="AQA208" s="112"/>
      <c r="AQB208" s="112"/>
      <c r="AQC208" s="112"/>
      <c r="AQD208" s="112"/>
      <c r="AQE208" s="112"/>
      <c r="AQF208" s="112"/>
      <c r="AQG208" s="112"/>
      <c r="AQH208" s="112"/>
      <c r="AQI208" s="112"/>
      <c r="AQJ208" s="112"/>
      <c r="AQK208" s="112"/>
      <c r="AQL208" s="112"/>
      <c r="AQM208" s="112"/>
      <c r="AQN208" s="112"/>
      <c r="AQO208" s="112"/>
      <c r="AQP208" s="112"/>
      <c r="AQQ208" s="112"/>
      <c r="AQR208" s="112"/>
      <c r="AQS208" s="112"/>
      <c r="AQT208" s="112"/>
      <c r="AQU208" s="112"/>
      <c r="AQV208" s="112"/>
      <c r="AQW208" s="112"/>
      <c r="AQX208" s="112"/>
      <c r="AQY208" s="112"/>
      <c r="AQZ208" s="112"/>
      <c r="ARA208" s="112"/>
      <c r="ARB208" s="112"/>
      <c r="ARC208" s="112"/>
      <c r="ARD208" s="112"/>
      <c r="ARE208" s="112"/>
      <c r="ARF208" s="112"/>
      <c r="ARG208" s="112"/>
      <c r="ARH208" s="112"/>
      <c r="ARI208" s="112"/>
      <c r="ARJ208" s="112"/>
      <c r="ARK208" s="112"/>
      <c r="ARL208" s="112"/>
      <c r="ARM208" s="112"/>
      <c r="ARN208" s="112"/>
      <c r="ARO208" s="112"/>
      <c r="ARP208" s="112"/>
      <c r="ARQ208" s="112"/>
      <c r="ARR208" s="112"/>
      <c r="ARS208" s="112"/>
      <c r="ART208" s="112"/>
      <c r="ARU208" s="112"/>
      <c r="ARV208" s="112"/>
      <c r="ARW208" s="112"/>
      <c r="ARX208" s="112"/>
      <c r="ARY208" s="112"/>
      <c r="ARZ208" s="112"/>
      <c r="ASA208" s="112"/>
      <c r="ASB208" s="112"/>
      <c r="ASC208" s="112"/>
      <c r="ASD208" s="112"/>
      <c r="ASE208" s="112"/>
      <c r="ASF208" s="112"/>
      <c r="ASG208" s="112"/>
      <c r="ASH208" s="112"/>
      <c r="ASI208" s="112"/>
      <c r="ASJ208" s="112"/>
      <c r="ASK208" s="112"/>
      <c r="ASL208" s="112"/>
      <c r="ASM208" s="112"/>
      <c r="ASN208" s="112"/>
      <c r="ASO208" s="112"/>
      <c r="ASP208" s="112"/>
      <c r="ASQ208" s="112"/>
      <c r="ASR208" s="112"/>
      <c r="ASS208" s="112"/>
      <c r="AST208" s="112"/>
      <c r="ASU208" s="112"/>
      <c r="ASV208" s="112"/>
      <c r="ASW208" s="112"/>
      <c r="ASX208" s="112"/>
      <c r="ASY208" s="112"/>
      <c r="ASZ208" s="112"/>
      <c r="ATA208" s="112"/>
      <c r="ATB208" s="112"/>
      <c r="ATC208" s="112"/>
      <c r="ATD208" s="112"/>
      <c r="ATE208" s="112"/>
      <c r="ATF208" s="112"/>
      <c r="ATG208" s="112"/>
      <c r="ATH208" s="112"/>
      <c r="ATI208" s="112"/>
      <c r="ATJ208" s="112"/>
      <c r="ATK208" s="112"/>
      <c r="ATL208" s="112"/>
      <c r="ATM208" s="112"/>
      <c r="ATN208" s="112"/>
      <c r="ATO208" s="112"/>
      <c r="ATP208" s="112"/>
      <c r="ATQ208" s="112"/>
      <c r="ATR208" s="112"/>
      <c r="ATS208" s="112"/>
      <c r="ATT208" s="112"/>
      <c r="ATU208" s="112"/>
      <c r="ATV208" s="112"/>
      <c r="ATW208" s="112"/>
      <c r="ATX208" s="112"/>
      <c r="ATY208" s="112"/>
      <c r="ATZ208" s="112"/>
      <c r="AUA208" s="112"/>
      <c r="AUB208" s="112"/>
      <c r="AUC208" s="112"/>
      <c r="AUD208" s="112"/>
      <c r="AUE208" s="112"/>
      <c r="AUF208" s="112"/>
      <c r="AUG208" s="112"/>
      <c r="AUH208" s="112"/>
      <c r="AUI208" s="112"/>
      <c r="AUJ208" s="112"/>
      <c r="AUK208" s="112"/>
      <c r="AUL208" s="112"/>
      <c r="AUM208" s="112"/>
      <c r="AUN208" s="112"/>
      <c r="AUO208" s="112"/>
      <c r="AUP208" s="112"/>
      <c r="AUQ208" s="112"/>
      <c r="AUR208" s="112"/>
      <c r="AUS208" s="112"/>
      <c r="AUT208" s="112"/>
      <c r="AUU208" s="112"/>
      <c r="AUV208" s="112"/>
      <c r="AUW208" s="112"/>
      <c r="AUX208" s="112"/>
      <c r="AUY208" s="112"/>
      <c r="AUZ208" s="112"/>
      <c r="AVA208" s="112"/>
      <c r="AVB208" s="112"/>
      <c r="AVC208" s="112"/>
      <c r="AVD208" s="112"/>
      <c r="AVE208" s="112"/>
      <c r="AVF208" s="112"/>
      <c r="AVG208" s="112"/>
      <c r="AVH208" s="112"/>
      <c r="AVI208" s="112"/>
      <c r="AVJ208" s="112"/>
      <c r="AVK208" s="112"/>
      <c r="AVL208" s="112"/>
      <c r="AVM208" s="112"/>
      <c r="AVN208" s="112"/>
      <c r="AVO208" s="112"/>
      <c r="AVP208" s="112"/>
      <c r="AVQ208" s="112"/>
      <c r="AVR208" s="112"/>
      <c r="AVS208" s="112"/>
      <c r="AVT208" s="112"/>
      <c r="AVU208" s="112"/>
      <c r="AVV208" s="112"/>
      <c r="AVW208" s="112"/>
      <c r="AVX208" s="112"/>
      <c r="AVY208" s="112"/>
      <c r="AVZ208" s="112"/>
      <c r="AWA208" s="112"/>
      <c r="AWB208" s="112"/>
      <c r="AWC208" s="112"/>
      <c r="AWD208" s="112"/>
      <c r="AWE208" s="112"/>
      <c r="AWF208" s="112"/>
      <c r="AWG208" s="112"/>
      <c r="AWH208" s="112"/>
      <c r="AWI208" s="112"/>
      <c r="AWJ208" s="112"/>
      <c r="AWK208" s="112"/>
      <c r="AWL208" s="112"/>
      <c r="AWM208" s="112"/>
      <c r="AWN208" s="112"/>
      <c r="AWO208" s="112"/>
      <c r="AWP208" s="112"/>
      <c r="AWQ208" s="112"/>
      <c r="AWR208" s="112"/>
      <c r="AWS208" s="112"/>
      <c r="AWT208" s="112"/>
      <c r="AWU208" s="112"/>
      <c r="AWV208" s="112"/>
      <c r="AWW208" s="112"/>
      <c r="AWX208" s="112"/>
      <c r="AWY208" s="112"/>
      <c r="AWZ208" s="112"/>
      <c r="AXA208" s="112"/>
      <c r="AXB208" s="112"/>
      <c r="AXC208" s="112"/>
      <c r="AXD208" s="112"/>
      <c r="AXE208" s="112"/>
      <c r="AXF208" s="112"/>
      <c r="AXG208" s="112"/>
      <c r="AXH208" s="112"/>
      <c r="AXI208" s="112"/>
      <c r="AXJ208" s="112"/>
      <c r="AXK208" s="112"/>
      <c r="AXL208" s="112"/>
      <c r="AXM208" s="112"/>
      <c r="AXN208" s="112"/>
      <c r="AXO208" s="112"/>
      <c r="AXP208" s="112"/>
      <c r="AXQ208" s="112"/>
      <c r="AXR208" s="112"/>
      <c r="AXS208" s="112"/>
      <c r="AXT208" s="112"/>
      <c r="AXU208" s="112"/>
      <c r="AXV208" s="112"/>
      <c r="AXW208" s="112"/>
      <c r="AXX208" s="112"/>
      <c r="AXY208" s="112"/>
      <c r="AXZ208" s="112"/>
      <c r="AYA208" s="112"/>
      <c r="AYB208" s="112"/>
      <c r="AYC208" s="112"/>
      <c r="AYD208" s="112"/>
      <c r="AYE208" s="112"/>
      <c r="AYF208" s="112"/>
      <c r="AYG208" s="112"/>
      <c r="AYH208" s="112"/>
      <c r="AYI208" s="112"/>
      <c r="AYJ208" s="112"/>
      <c r="AYK208" s="112"/>
      <c r="AYL208" s="112"/>
      <c r="AYM208" s="112"/>
      <c r="AYN208" s="112"/>
      <c r="AYO208" s="112"/>
      <c r="AYP208" s="112"/>
      <c r="AYQ208" s="112"/>
      <c r="AYR208" s="112"/>
      <c r="AYS208" s="112"/>
      <c r="AYT208" s="112"/>
      <c r="AYU208" s="112"/>
      <c r="AYV208" s="112"/>
      <c r="AYW208" s="112"/>
      <c r="AYX208" s="112"/>
      <c r="AYY208" s="112"/>
      <c r="AYZ208" s="112"/>
      <c r="AZA208" s="112"/>
      <c r="AZB208" s="112"/>
      <c r="AZC208" s="112"/>
      <c r="AZD208" s="112"/>
      <c r="AZE208" s="112"/>
      <c r="AZF208" s="112"/>
      <c r="AZG208" s="112"/>
      <c r="AZH208" s="112"/>
      <c r="AZI208" s="112"/>
      <c r="AZJ208" s="112"/>
      <c r="AZK208" s="112"/>
      <c r="AZL208" s="112"/>
      <c r="AZM208" s="112"/>
      <c r="AZN208" s="112"/>
      <c r="AZO208" s="112"/>
      <c r="AZP208" s="112"/>
      <c r="AZQ208" s="112"/>
      <c r="AZR208" s="112"/>
      <c r="AZS208" s="112"/>
      <c r="AZT208" s="112"/>
      <c r="AZU208" s="112"/>
      <c r="AZV208" s="112"/>
      <c r="AZW208" s="112"/>
      <c r="AZX208" s="112"/>
      <c r="AZY208" s="112"/>
      <c r="AZZ208" s="112"/>
      <c r="BAA208" s="112"/>
      <c r="BAB208" s="112"/>
      <c r="BAC208" s="112"/>
      <c r="BAD208" s="112"/>
      <c r="BAE208" s="112"/>
      <c r="BAF208" s="112"/>
      <c r="BAG208" s="112"/>
      <c r="BAH208" s="112"/>
      <c r="BAI208" s="112"/>
      <c r="BAJ208" s="112"/>
      <c r="BAK208" s="112"/>
      <c r="BAL208" s="112"/>
      <c r="BAM208" s="112"/>
      <c r="BAN208" s="112"/>
      <c r="BAO208" s="112"/>
      <c r="BAP208" s="112"/>
      <c r="BAQ208" s="112"/>
      <c r="BAR208" s="112"/>
      <c r="BAS208" s="112"/>
      <c r="BAT208" s="112"/>
      <c r="BAU208" s="112"/>
      <c r="BAV208" s="112"/>
      <c r="BAW208" s="112"/>
      <c r="BAX208" s="112"/>
      <c r="BAY208" s="112"/>
      <c r="BAZ208" s="112"/>
      <c r="BBA208" s="112"/>
      <c r="BBB208" s="112"/>
      <c r="BBC208" s="112"/>
      <c r="BBD208" s="112"/>
      <c r="BBE208" s="112"/>
      <c r="BBF208" s="112"/>
      <c r="BBG208" s="112"/>
      <c r="BBH208" s="112"/>
      <c r="BBI208" s="112"/>
      <c r="BBJ208" s="112"/>
      <c r="BBK208" s="112"/>
      <c r="BBL208" s="112"/>
      <c r="BBM208" s="112"/>
      <c r="BBN208" s="112"/>
      <c r="BBO208" s="112"/>
      <c r="BBP208" s="112"/>
      <c r="BBQ208" s="112"/>
      <c r="BBR208" s="112"/>
      <c r="BBS208" s="112"/>
      <c r="BBT208" s="112"/>
      <c r="BBU208" s="112"/>
      <c r="BBV208" s="112"/>
      <c r="BBW208" s="112"/>
      <c r="BBX208" s="112"/>
      <c r="BBY208" s="112"/>
      <c r="BBZ208" s="112"/>
      <c r="BCA208" s="112"/>
      <c r="BCB208" s="112"/>
      <c r="BCC208" s="112"/>
      <c r="BCD208" s="112"/>
      <c r="BCE208" s="112"/>
      <c r="BCF208" s="112"/>
      <c r="BCG208" s="112"/>
      <c r="BCH208" s="112"/>
      <c r="BCI208" s="112"/>
      <c r="BCJ208" s="112"/>
      <c r="BCK208" s="112"/>
      <c r="BCL208" s="112"/>
      <c r="BCM208" s="112"/>
      <c r="BCN208" s="112"/>
      <c r="BCO208" s="112"/>
      <c r="BCP208" s="112"/>
      <c r="BCQ208" s="112"/>
      <c r="BCR208" s="112"/>
      <c r="BCS208" s="112"/>
      <c r="BCT208" s="112"/>
      <c r="BCU208" s="112"/>
      <c r="BCV208" s="112"/>
      <c r="BCW208" s="112"/>
      <c r="BCX208" s="112"/>
      <c r="BCY208" s="112"/>
      <c r="BCZ208" s="112"/>
      <c r="BDA208" s="112"/>
      <c r="BDB208" s="112"/>
      <c r="BDC208" s="112"/>
      <c r="BDD208" s="112"/>
      <c r="BDE208" s="112"/>
      <c r="BDF208" s="112"/>
      <c r="BDG208" s="112"/>
      <c r="BDH208" s="112"/>
      <c r="BDI208" s="112"/>
      <c r="BDJ208" s="112"/>
      <c r="BDK208" s="112"/>
      <c r="BDL208" s="112"/>
      <c r="BDM208" s="112"/>
      <c r="BDN208" s="112"/>
      <c r="BDO208" s="112"/>
      <c r="BDP208" s="112"/>
      <c r="BDQ208" s="112"/>
      <c r="BDR208" s="112"/>
      <c r="BDS208" s="112"/>
      <c r="BDT208" s="112"/>
      <c r="BDU208" s="112"/>
      <c r="BDV208" s="112"/>
      <c r="BDW208" s="112"/>
      <c r="BDX208" s="112"/>
      <c r="BDY208" s="112"/>
      <c r="BDZ208" s="112"/>
      <c r="BEA208" s="112"/>
      <c r="BEB208" s="112"/>
      <c r="BEC208" s="112"/>
      <c r="BED208" s="112"/>
      <c r="BEE208" s="112"/>
      <c r="BEF208" s="112"/>
      <c r="BEG208" s="112"/>
      <c r="BEH208" s="112"/>
      <c r="BEI208" s="112"/>
      <c r="BEJ208" s="112"/>
      <c r="BEK208" s="112"/>
      <c r="BEL208" s="112"/>
      <c r="BEM208" s="112"/>
      <c r="BEN208" s="112"/>
      <c r="BEO208" s="112"/>
      <c r="BEP208" s="112"/>
      <c r="BEQ208" s="112"/>
      <c r="BER208" s="112"/>
      <c r="BES208" s="112"/>
      <c r="BET208" s="112"/>
      <c r="BEU208" s="112"/>
      <c r="BEV208" s="112"/>
      <c r="BEW208" s="112"/>
      <c r="BEX208" s="112"/>
      <c r="BEY208" s="112"/>
      <c r="BEZ208" s="112"/>
      <c r="BFA208" s="112"/>
      <c r="BFB208" s="112"/>
      <c r="BFC208" s="112"/>
      <c r="BFD208" s="112"/>
      <c r="BFE208" s="112"/>
      <c r="BFF208" s="112"/>
      <c r="BFG208" s="112"/>
      <c r="BFH208" s="112"/>
      <c r="BFI208" s="112"/>
      <c r="BFJ208" s="112"/>
      <c r="BFK208" s="112"/>
      <c r="BFL208" s="112"/>
      <c r="BFM208" s="112"/>
      <c r="BFN208" s="112"/>
      <c r="BFO208" s="112"/>
      <c r="BFP208" s="112"/>
      <c r="BFQ208" s="112"/>
      <c r="BFR208" s="112"/>
      <c r="BFS208" s="112"/>
      <c r="BFT208" s="112"/>
      <c r="BFU208" s="112"/>
      <c r="BFV208" s="112"/>
      <c r="BFW208" s="112"/>
      <c r="BFX208" s="112"/>
      <c r="BFY208" s="112"/>
      <c r="BFZ208" s="112"/>
      <c r="BGA208" s="112"/>
      <c r="BGB208" s="112"/>
      <c r="BGC208" s="112"/>
      <c r="BGD208" s="112"/>
      <c r="BGE208" s="112"/>
      <c r="BGF208" s="112"/>
      <c r="BGG208" s="112"/>
      <c r="BGH208" s="112"/>
      <c r="BGI208" s="112"/>
      <c r="BGJ208" s="112"/>
      <c r="BGK208" s="112"/>
      <c r="BGL208" s="112"/>
      <c r="BGM208" s="112"/>
      <c r="BGN208" s="112"/>
      <c r="BGO208" s="112"/>
      <c r="BGP208" s="112"/>
      <c r="BGQ208" s="112"/>
      <c r="BGR208" s="112"/>
      <c r="BGS208" s="112"/>
      <c r="BGT208" s="112"/>
      <c r="BGU208" s="112"/>
      <c r="BGV208" s="112"/>
      <c r="BGW208" s="112"/>
      <c r="BGX208" s="112"/>
      <c r="BGY208" s="112"/>
      <c r="BGZ208" s="112"/>
      <c r="BHA208" s="112"/>
      <c r="BHB208" s="112"/>
      <c r="BHC208" s="112"/>
      <c r="BHD208" s="112"/>
      <c r="BHE208" s="112"/>
      <c r="BHF208" s="112"/>
      <c r="BHG208" s="112"/>
      <c r="BHH208" s="112"/>
      <c r="BHI208" s="112"/>
      <c r="BHJ208" s="112"/>
      <c r="BHK208" s="112"/>
      <c r="BHL208" s="112"/>
      <c r="BHM208" s="112"/>
      <c r="BHN208" s="112"/>
      <c r="BHO208" s="112"/>
      <c r="BHP208" s="112"/>
      <c r="BHQ208" s="112"/>
      <c r="BHR208" s="112"/>
      <c r="BHS208" s="112"/>
      <c r="BHT208" s="112"/>
      <c r="BHU208" s="112"/>
      <c r="BHV208" s="112"/>
      <c r="BHW208" s="112"/>
      <c r="BHX208" s="112"/>
      <c r="BHY208" s="112"/>
      <c r="BHZ208" s="112"/>
      <c r="BIA208" s="112"/>
      <c r="BIB208" s="112"/>
      <c r="BIC208" s="112"/>
      <c r="BID208" s="112"/>
      <c r="BIE208" s="112"/>
      <c r="BIF208" s="112"/>
      <c r="BIG208" s="112"/>
      <c r="BIH208" s="112"/>
      <c r="BII208" s="112"/>
      <c r="BIJ208" s="112"/>
      <c r="BIK208" s="112"/>
      <c r="BIL208" s="112"/>
      <c r="BIM208" s="112"/>
      <c r="BIN208" s="112"/>
      <c r="BIO208" s="112"/>
      <c r="BIP208" s="112"/>
      <c r="BIQ208" s="112"/>
      <c r="BIR208" s="112"/>
      <c r="BIS208" s="112"/>
      <c r="BIT208" s="112"/>
      <c r="BIU208" s="112"/>
      <c r="BIV208" s="112"/>
      <c r="BIW208" s="112"/>
      <c r="BIX208" s="112"/>
      <c r="BIY208" s="112"/>
      <c r="BIZ208" s="112"/>
      <c r="BJA208" s="112"/>
      <c r="BJB208" s="112"/>
      <c r="BJC208" s="112"/>
      <c r="BJD208" s="112"/>
      <c r="BJE208" s="112"/>
      <c r="BJF208" s="112"/>
      <c r="BJG208" s="112"/>
      <c r="BJH208" s="112"/>
      <c r="BJI208" s="112"/>
      <c r="BJJ208" s="112"/>
      <c r="BJK208" s="112"/>
      <c r="BJL208" s="112"/>
      <c r="BJM208" s="112"/>
      <c r="BJN208" s="112"/>
      <c r="BJO208" s="112"/>
      <c r="BJP208" s="112"/>
      <c r="BJQ208" s="112"/>
      <c r="BJR208" s="112"/>
      <c r="BJS208" s="112"/>
      <c r="BJT208" s="112"/>
      <c r="BJU208" s="112"/>
      <c r="BJV208" s="112"/>
      <c r="BJW208" s="112"/>
      <c r="BJX208" s="112"/>
      <c r="BJY208" s="112"/>
      <c r="BJZ208" s="112"/>
      <c r="BKA208" s="112"/>
      <c r="BKB208" s="112"/>
      <c r="BKC208" s="112"/>
      <c r="BKD208" s="112"/>
      <c r="BKE208" s="112"/>
      <c r="BKF208" s="112"/>
      <c r="BKG208" s="112"/>
      <c r="BKH208" s="112"/>
      <c r="BKI208" s="112"/>
      <c r="BKJ208" s="112"/>
      <c r="BKK208" s="112"/>
      <c r="BKL208" s="112"/>
      <c r="BKM208" s="112"/>
      <c r="BKN208" s="112"/>
      <c r="BKO208" s="112"/>
      <c r="BKP208" s="112"/>
      <c r="BKQ208" s="112"/>
      <c r="BKR208" s="112"/>
      <c r="BKS208" s="112"/>
      <c r="BKT208" s="112"/>
      <c r="BKU208" s="112"/>
      <c r="BKV208" s="112"/>
      <c r="BKW208" s="112"/>
      <c r="BKX208" s="112"/>
      <c r="BKY208" s="112"/>
      <c r="BKZ208" s="112"/>
      <c r="BLA208" s="112"/>
      <c r="BLB208" s="112"/>
      <c r="BLC208" s="112"/>
      <c r="BLD208" s="112"/>
      <c r="BLE208" s="112"/>
      <c r="BLF208" s="112"/>
      <c r="BLG208" s="112"/>
      <c r="BLH208" s="112"/>
      <c r="BLI208" s="112"/>
      <c r="BLJ208" s="112"/>
      <c r="BLK208" s="112"/>
      <c r="BLL208" s="112"/>
      <c r="BLM208" s="112"/>
      <c r="BLN208" s="112"/>
      <c r="BLO208" s="112"/>
      <c r="BLP208" s="112"/>
      <c r="BLQ208" s="112"/>
      <c r="BLR208" s="112"/>
      <c r="BLS208" s="112"/>
      <c r="BLT208" s="112"/>
      <c r="BLU208" s="112"/>
      <c r="BLV208" s="112"/>
      <c r="BLW208" s="112"/>
      <c r="BLX208" s="112"/>
      <c r="BLY208" s="112"/>
      <c r="BLZ208" s="112"/>
      <c r="BMA208" s="112"/>
      <c r="BMB208" s="112"/>
      <c r="BMC208" s="112"/>
      <c r="BMD208" s="112"/>
      <c r="BME208" s="112"/>
      <c r="BMF208" s="112"/>
      <c r="BMG208" s="112"/>
      <c r="BMH208" s="112"/>
      <c r="BMI208" s="112"/>
      <c r="BMJ208" s="112"/>
      <c r="BMK208" s="112"/>
      <c r="BML208" s="112"/>
      <c r="BMM208" s="112"/>
      <c r="BMN208" s="112"/>
      <c r="BMO208" s="112"/>
      <c r="BMP208" s="112"/>
      <c r="BMQ208" s="112"/>
      <c r="BMR208" s="112"/>
      <c r="BMS208" s="112"/>
      <c r="BMT208" s="112"/>
      <c r="BMU208" s="112"/>
      <c r="BMV208" s="112"/>
      <c r="BMW208" s="112"/>
      <c r="BMX208" s="112"/>
      <c r="BMY208" s="112"/>
      <c r="BMZ208" s="112"/>
      <c r="BNA208" s="112"/>
      <c r="BNB208" s="112"/>
      <c r="BNC208" s="112"/>
      <c r="BND208" s="112"/>
      <c r="BNE208" s="112"/>
      <c r="BNF208" s="112"/>
      <c r="BNG208" s="112"/>
      <c r="BNH208" s="112"/>
      <c r="BNI208" s="112"/>
      <c r="BNJ208" s="112"/>
      <c r="BNK208" s="112"/>
      <c r="BNL208" s="112"/>
      <c r="BNM208" s="112"/>
      <c r="BNN208" s="112"/>
      <c r="BNO208" s="112"/>
      <c r="BNP208" s="112"/>
      <c r="BNQ208" s="112"/>
      <c r="BNR208" s="112"/>
      <c r="BNS208" s="112"/>
      <c r="BNT208" s="112"/>
      <c r="BNU208" s="112"/>
      <c r="BNV208" s="112"/>
      <c r="BNW208" s="112"/>
      <c r="BNX208" s="112"/>
      <c r="BNY208" s="112"/>
      <c r="BNZ208" s="112"/>
      <c r="BOA208" s="112"/>
      <c r="BOB208" s="112"/>
      <c r="BOC208" s="112"/>
      <c r="BOD208" s="112"/>
      <c r="BOE208" s="112"/>
      <c r="BOF208" s="112"/>
      <c r="BOG208" s="112"/>
      <c r="BOH208" s="112"/>
      <c r="BOI208" s="112"/>
      <c r="BOJ208" s="112"/>
      <c r="BOK208" s="112"/>
      <c r="BOL208" s="112"/>
      <c r="BOM208" s="112"/>
      <c r="BON208" s="112"/>
      <c r="BOO208" s="112"/>
      <c r="BOP208" s="112"/>
      <c r="BOQ208" s="112"/>
      <c r="BOR208" s="112"/>
      <c r="BOS208" s="112"/>
      <c r="BOT208" s="112"/>
      <c r="BOU208" s="112"/>
      <c r="BOV208" s="112"/>
      <c r="BOW208" s="112"/>
      <c r="BOX208" s="112"/>
      <c r="BOY208" s="112"/>
      <c r="BOZ208" s="112"/>
      <c r="BPA208" s="112"/>
      <c r="BPB208" s="112"/>
      <c r="BPC208" s="112"/>
      <c r="BPD208" s="112"/>
      <c r="BPE208" s="112"/>
      <c r="BPF208" s="112"/>
      <c r="BPG208" s="112"/>
      <c r="BPH208" s="112"/>
      <c r="BPI208" s="112"/>
      <c r="BPJ208" s="112"/>
      <c r="BPK208" s="112"/>
      <c r="BPL208" s="112"/>
      <c r="BPM208" s="112"/>
      <c r="BPN208" s="112"/>
      <c r="BPO208" s="112"/>
      <c r="BPP208" s="112"/>
      <c r="BPQ208" s="112"/>
      <c r="BPR208" s="112"/>
      <c r="BPS208" s="112"/>
      <c r="BPT208" s="112"/>
      <c r="BPU208" s="112"/>
      <c r="BPV208" s="112"/>
      <c r="BPW208" s="112"/>
      <c r="BPX208" s="112"/>
      <c r="BPY208" s="112"/>
      <c r="BPZ208" s="112"/>
      <c r="BQA208" s="112"/>
      <c r="BQB208" s="112"/>
      <c r="BQC208" s="112"/>
      <c r="BQD208" s="112"/>
      <c r="BQE208" s="112"/>
      <c r="BQF208" s="112"/>
      <c r="BQG208" s="112"/>
      <c r="BQH208" s="112"/>
      <c r="BQI208" s="112"/>
      <c r="BQJ208" s="112"/>
      <c r="BQK208" s="112"/>
      <c r="BQL208" s="112"/>
      <c r="BQM208" s="112"/>
      <c r="BQN208" s="112"/>
      <c r="BQO208" s="112"/>
      <c r="BQP208" s="112"/>
      <c r="BQQ208" s="112"/>
      <c r="BQR208" s="112"/>
      <c r="BQS208" s="112"/>
      <c r="BQT208" s="112"/>
      <c r="BQU208" s="112"/>
      <c r="BQV208" s="112"/>
      <c r="BQW208" s="112"/>
      <c r="BQX208" s="112"/>
      <c r="BQY208" s="112"/>
      <c r="BQZ208" s="112"/>
      <c r="BRA208" s="112"/>
      <c r="BRB208" s="112"/>
      <c r="BRC208" s="112"/>
      <c r="BRD208" s="112"/>
      <c r="BRE208" s="112"/>
      <c r="BRF208" s="112"/>
      <c r="BRG208" s="112"/>
      <c r="BRH208" s="112"/>
      <c r="BRI208" s="112"/>
      <c r="BRJ208" s="112"/>
      <c r="BRK208" s="112"/>
      <c r="BRL208" s="112"/>
      <c r="BRM208" s="112"/>
      <c r="BRN208" s="112"/>
      <c r="BRO208" s="112"/>
      <c r="BRP208" s="112"/>
      <c r="BRQ208" s="112"/>
      <c r="BRR208" s="112"/>
      <c r="BRS208" s="112"/>
      <c r="BRT208" s="112"/>
      <c r="BRU208" s="112"/>
      <c r="BRV208" s="112"/>
      <c r="BRW208" s="112"/>
      <c r="BRX208" s="112"/>
      <c r="BRY208" s="112"/>
      <c r="BRZ208" s="112"/>
      <c r="BSA208" s="112"/>
      <c r="BSB208" s="112"/>
      <c r="BSC208" s="112"/>
      <c r="BSD208" s="112"/>
      <c r="BSE208" s="112"/>
      <c r="BSF208" s="112"/>
      <c r="BSG208" s="112"/>
      <c r="BSH208" s="112"/>
      <c r="BSI208" s="112"/>
      <c r="BSJ208" s="112"/>
      <c r="BSK208" s="112"/>
      <c r="BSL208" s="112"/>
      <c r="BSM208" s="112"/>
      <c r="BSN208" s="112"/>
      <c r="BSO208" s="112"/>
      <c r="BSP208" s="112"/>
      <c r="BSQ208" s="112"/>
      <c r="BSR208" s="112"/>
      <c r="BSS208" s="112"/>
      <c r="BST208" s="112"/>
      <c r="BSU208" s="112"/>
      <c r="BSV208" s="112"/>
      <c r="BSW208" s="112"/>
      <c r="BSX208" s="112"/>
      <c r="BSY208" s="112"/>
      <c r="BSZ208" s="112"/>
      <c r="BTA208" s="112"/>
      <c r="BTB208" s="112"/>
      <c r="BTC208" s="112"/>
      <c r="BTD208" s="112"/>
      <c r="BTE208" s="112"/>
      <c r="BTF208" s="112"/>
      <c r="BTG208" s="112"/>
      <c r="BTH208" s="112"/>
      <c r="BTI208" s="112"/>
      <c r="BTJ208" s="112"/>
      <c r="BTK208" s="112"/>
      <c r="BTL208" s="112"/>
      <c r="BTM208" s="112"/>
      <c r="BTN208" s="112"/>
      <c r="BTO208" s="112"/>
      <c r="BTP208" s="112"/>
      <c r="BTQ208" s="112"/>
      <c r="BTR208" s="112"/>
      <c r="BTS208" s="112"/>
      <c r="BTT208" s="112"/>
      <c r="BTU208" s="112"/>
      <c r="BTV208" s="112"/>
      <c r="BTW208" s="112"/>
      <c r="BTX208" s="112"/>
      <c r="BTY208" s="112"/>
      <c r="BTZ208" s="112"/>
      <c r="BUA208" s="112"/>
      <c r="BUB208" s="112"/>
      <c r="BUC208" s="112"/>
      <c r="BUD208" s="112"/>
      <c r="BUE208" s="112"/>
      <c r="BUF208" s="112"/>
      <c r="BUG208" s="112"/>
      <c r="BUH208" s="112"/>
      <c r="BUI208" s="112"/>
      <c r="BUJ208" s="112"/>
      <c r="BUK208" s="112"/>
      <c r="BUL208" s="112"/>
      <c r="BUM208" s="112"/>
      <c r="BUN208" s="112"/>
      <c r="BUO208" s="112"/>
      <c r="BUP208" s="112"/>
      <c r="BUQ208" s="112"/>
      <c r="BUR208" s="112"/>
      <c r="BUS208" s="112"/>
      <c r="BUT208" s="112"/>
      <c r="BUU208" s="112"/>
      <c r="BUV208" s="112"/>
      <c r="BUW208" s="112"/>
      <c r="BUX208" s="112"/>
      <c r="BUY208" s="112"/>
      <c r="BUZ208" s="112"/>
      <c r="BVA208" s="112"/>
      <c r="BVB208" s="112"/>
      <c r="BVC208" s="112"/>
      <c r="BVD208" s="112"/>
      <c r="BVE208" s="112"/>
      <c r="BVF208" s="112"/>
      <c r="BVG208" s="112"/>
      <c r="BVH208" s="112"/>
      <c r="BVI208" s="112"/>
      <c r="BVJ208" s="112"/>
      <c r="BVK208" s="112"/>
      <c r="BVL208" s="112"/>
      <c r="BVM208" s="112"/>
      <c r="BVN208" s="112"/>
      <c r="BVO208" s="112"/>
      <c r="BVP208" s="112"/>
      <c r="BVQ208" s="112"/>
      <c r="BVR208" s="112"/>
      <c r="BVS208" s="112"/>
      <c r="BVT208" s="112"/>
      <c r="BVU208" s="112"/>
      <c r="BVV208" s="112"/>
      <c r="BVW208" s="112"/>
      <c r="BVX208" s="112"/>
      <c r="BVY208" s="112"/>
      <c r="BVZ208" s="112"/>
      <c r="BWA208" s="112"/>
      <c r="BWB208" s="112"/>
      <c r="BWC208" s="112"/>
      <c r="BWD208" s="112"/>
      <c r="BWE208" s="112"/>
      <c r="BWF208" s="112"/>
      <c r="BWG208" s="112"/>
      <c r="BWH208" s="112"/>
      <c r="BWI208" s="112"/>
      <c r="BWJ208" s="112"/>
      <c r="BWK208" s="112"/>
      <c r="BWL208" s="112"/>
      <c r="BWM208" s="112"/>
      <c r="BWN208" s="112"/>
      <c r="BWO208" s="112"/>
      <c r="BWP208" s="112"/>
      <c r="BWQ208" s="112"/>
      <c r="BWR208" s="112"/>
      <c r="BWS208" s="112"/>
      <c r="BWT208" s="112"/>
      <c r="BWU208" s="112"/>
      <c r="BWV208" s="112"/>
      <c r="BWW208" s="112"/>
      <c r="BWX208" s="112"/>
      <c r="BWY208" s="112"/>
      <c r="BWZ208" s="112"/>
      <c r="BXA208" s="112"/>
      <c r="BXB208" s="112"/>
      <c r="BXC208" s="112"/>
      <c r="BXD208" s="112"/>
      <c r="BXE208" s="112"/>
      <c r="BXF208" s="112"/>
      <c r="BXG208" s="112"/>
      <c r="BXH208" s="112"/>
      <c r="BXI208" s="112"/>
      <c r="BXJ208" s="112"/>
      <c r="BXK208" s="112"/>
      <c r="BXL208" s="112"/>
      <c r="BXM208" s="112"/>
      <c r="BXN208" s="112"/>
      <c r="BXO208" s="112"/>
      <c r="BXP208" s="112"/>
      <c r="BXQ208" s="112"/>
      <c r="BXR208" s="112"/>
      <c r="BXS208" s="112"/>
      <c r="BXT208" s="112"/>
      <c r="BXU208" s="112"/>
      <c r="BXV208" s="112"/>
      <c r="BXW208" s="112"/>
      <c r="BXX208" s="112"/>
      <c r="BXY208" s="112"/>
      <c r="BXZ208" s="112"/>
      <c r="BYA208" s="112"/>
      <c r="BYB208" s="112"/>
      <c r="BYC208" s="112"/>
      <c r="BYD208" s="112"/>
      <c r="BYE208" s="112"/>
      <c r="BYF208" s="112"/>
      <c r="BYG208" s="112"/>
      <c r="BYH208" s="112"/>
      <c r="BYI208" s="112"/>
      <c r="BYJ208" s="112"/>
      <c r="BYK208" s="112"/>
      <c r="BYL208" s="112"/>
      <c r="BYM208" s="112"/>
      <c r="BYN208" s="112"/>
      <c r="BYO208" s="112"/>
      <c r="BYP208" s="112"/>
      <c r="BYQ208" s="112"/>
      <c r="BYR208" s="112"/>
      <c r="BYS208" s="112"/>
      <c r="BYT208" s="112"/>
      <c r="BYU208" s="112"/>
      <c r="BYV208" s="112"/>
      <c r="BYW208" s="112"/>
      <c r="BYX208" s="112"/>
      <c r="BYY208" s="112"/>
      <c r="BYZ208" s="112"/>
      <c r="BZA208" s="112"/>
      <c r="BZB208" s="112"/>
      <c r="BZC208" s="112"/>
      <c r="BZD208" s="112"/>
      <c r="BZE208" s="112"/>
      <c r="BZF208" s="112"/>
      <c r="BZG208" s="112"/>
      <c r="BZH208" s="112"/>
      <c r="BZI208" s="112"/>
      <c r="BZJ208" s="112"/>
      <c r="BZK208" s="112"/>
      <c r="BZL208" s="112"/>
      <c r="BZM208" s="112"/>
      <c r="BZN208" s="112"/>
      <c r="BZO208" s="112"/>
      <c r="BZP208" s="112"/>
      <c r="BZQ208" s="112"/>
      <c r="BZR208" s="112"/>
      <c r="BZS208" s="112"/>
      <c r="BZT208" s="112"/>
      <c r="BZU208" s="112"/>
      <c r="BZV208" s="112"/>
      <c r="BZW208" s="112"/>
      <c r="BZX208" s="112"/>
      <c r="BZY208" s="112"/>
      <c r="BZZ208" s="112"/>
      <c r="CAA208" s="112"/>
      <c r="CAB208" s="112"/>
      <c r="CAC208" s="112"/>
      <c r="CAD208" s="112"/>
      <c r="CAE208" s="112"/>
      <c r="CAF208" s="112"/>
      <c r="CAG208" s="112"/>
      <c r="CAH208" s="112"/>
      <c r="CAI208" s="112"/>
      <c r="CAJ208" s="112"/>
      <c r="CAK208" s="112"/>
      <c r="CAL208" s="112"/>
      <c r="CAM208" s="112"/>
      <c r="CAN208" s="112"/>
      <c r="CAO208" s="112"/>
      <c r="CAP208" s="112"/>
      <c r="CAQ208" s="112"/>
      <c r="CAR208" s="112"/>
      <c r="CAS208" s="112"/>
      <c r="CAT208" s="112"/>
      <c r="CAU208" s="112"/>
      <c r="CAV208" s="112"/>
      <c r="CAW208" s="112"/>
      <c r="CAX208" s="112"/>
      <c r="CAY208" s="112"/>
      <c r="CAZ208" s="112"/>
      <c r="CBA208" s="112"/>
      <c r="CBB208" s="112"/>
      <c r="CBC208" s="112"/>
      <c r="CBD208" s="112"/>
      <c r="CBE208" s="112"/>
      <c r="CBF208" s="112"/>
      <c r="CBG208" s="112"/>
      <c r="CBH208" s="112"/>
      <c r="CBI208" s="112"/>
      <c r="CBJ208" s="112"/>
      <c r="CBK208" s="112"/>
      <c r="CBL208" s="112"/>
      <c r="CBM208" s="112"/>
      <c r="CBN208" s="112"/>
      <c r="CBO208" s="112"/>
      <c r="CBP208" s="112"/>
      <c r="CBQ208" s="112"/>
      <c r="CBR208" s="112"/>
      <c r="CBS208" s="112"/>
      <c r="CBT208" s="112"/>
      <c r="CBU208" s="112"/>
      <c r="CBV208" s="112"/>
      <c r="CBW208" s="112"/>
      <c r="CBX208" s="112"/>
      <c r="CBY208" s="112"/>
      <c r="CBZ208" s="112"/>
      <c r="CCA208" s="112"/>
      <c r="CCB208" s="112"/>
      <c r="CCC208" s="112"/>
      <c r="CCD208" s="112"/>
      <c r="CCE208" s="112"/>
      <c r="CCF208" s="112"/>
      <c r="CCG208" s="112"/>
      <c r="CCH208" s="112"/>
      <c r="CCI208" s="112"/>
      <c r="CCJ208" s="112"/>
      <c r="CCK208" s="112"/>
      <c r="CCL208" s="112"/>
      <c r="CCM208" s="112"/>
      <c r="CCN208" s="112"/>
      <c r="CCO208" s="112"/>
      <c r="CCP208" s="112"/>
      <c r="CCQ208" s="112"/>
      <c r="CCR208" s="112"/>
      <c r="CCS208" s="112"/>
      <c r="CCT208" s="112"/>
      <c r="CCU208" s="112"/>
      <c r="CCV208" s="112"/>
      <c r="CCW208" s="112"/>
      <c r="CCX208" s="112"/>
      <c r="CCY208" s="112"/>
      <c r="CCZ208" s="112"/>
      <c r="CDA208" s="112"/>
      <c r="CDB208" s="112"/>
      <c r="CDC208" s="112"/>
      <c r="CDD208" s="112"/>
      <c r="CDE208" s="112"/>
      <c r="CDF208" s="112"/>
      <c r="CDG208" s="112"/>
      <c r="CDH208" s="112"/>
      <c r="CDI208" s="112"/>
      <c r="CDJ208" s="112"/>
      <c r="CDK208" s="112"/>
      <c r="CDL208" s="112"/>
      <c r="CDM208" s="112"/>
      <c r="CDN208" s="112"/>
      <c r="CDO208" s="112"/>
      <c r="CDP208" s="112"/>
      <c r="CDQ208" s="112"/>
      <c r="CDR208" s="112"/>
      <c r="CDS208" s="112"/>
      <c r="CDT208" s="112"/>
      <c r="CDU208" s="112"/>
      <c r="CDV208" s="112"/>
      <c r="CDW208" s="112"/>
      <c r="CDX208" s="112"/>
      <c r="CDY208" s="112"/>
      <c r="CDZ208" s="112"/>
      <c r="CEA208" s="112"/>
      <c r="CEB208" s="112"/>
      <c r="CEC208" s="112"/>
      <c r="CED208" s="112"/>
      <c r="CEE208" s="112"/>
      <c r="CEF208" s="112"/>
      <c r="CEG208" s="112"/>
      <c r="CEH208" s="112"/>
      <c r="CEI208" s="112"/>
      <c r="CEJ208" s="112"/>
      <c r="CEK208" s="112"/>
      <c r="CEL208" s="112"/>
      <c r="CEM208" s="112"/>
      <c r="CEN208" s="112"/>
      <c r="CEO208" s="112"/>
      <c r="CEP208" s="112"/>
      <c r="CEQ208" s="112"/>
      <c r="CER208" s="112"/>
      <c r="CES208" s="112"/>
      <c r="CET208" s="112"/>
      <c r="CEU208" s="112"/>
      <c r="CEV208" s="112"/>
      <c r="CEW208" s="112"/>
      <c r="CEX208" s="112"/>
      <c r="CEY208" s="112"/>
      <c r="CEZ208" s="112"/>
      <c r="CFA208" s="112"/>
      <c r="CFB208" s="112"/>
      <c r="CFC208" s="112"/>
      <c r="CFD208" s="112"/>
      <c r="CFE208" s="112"/>
      <c r="CFF208" s="112"/>
      <c r="CFG208" s="112"/>
      <c r="CFH208" s="112"/>
      <c r="CFI208" s="112"/>
      <c r="CFJ208" s="112"/>
      <c r="CFK208" s="112"/>
      <c r="CFL208" s="112"/>
      <c r="CFM208" s="112"/>
      <c r="CFN208" s="112"/>
      <c r="CFO208" s="112"/>
      <c r="CFP208" s="112"/>
      <c r="CFQ208" s="112"/>
      <c r="CFR208" s="112"/>
      <c r="CFS208" s="112"/>
      <c r="CFT208" s="112"/>
      <c r="CFU208" s="112"/>
      <c r="CFV208" s="112"/>
      <c r="CFW208" s="112"/>
      <c r="CFX208" s="112"/>
      <c r="CFY208" s="112"/>
      <c r="CFZ208" s="112"/>
      <c r="CGA208" s="112"/>
      <c r="CGB208" s="112"/>
      <c r="CGC208" s="112"/>
      <c r="CGD208" s="112"/>
      <c r="CGE208" s="112"/>
      <c r="CGF208" s="112"/>
      <c r="CGG208" s="112"/>
      <c r="CGH208" s="112"/>
      <c r="CGI208" s="112"/>
      <c r="CGJ208" s="112"/>
      <c r="CGK208" s="112"/>
      <c r="CGL208" s="112"/>
      <c r="CGM208" s="112"/>
      <c r="CGN208" s="112"/>
      <c r="CGO208" s="112"/>
      <c r="CGP208" s="112"/>
      <c r="CGQ208" s="112"/>
      <c r="CGR208" s="112"/>
      <c r="CGS208" s="112"/>
      <c r="CGT208" s="112"/>
      <c r="CGU208" s="112"/>
      <c r="CGV208" s="112"/>
      <c r="CGW208" s="112"/>
      <c r="CGX208" s="112"/>
      <c r="CGY208" s="112"/>
      <c r="CGZ208" s="112"/>
      <c r="CHA208" s="112"/>
      <c r="CHB208" s="112"/>
      <c r="CHC208" s="112"/>
      <c r="CHD208" s="112"/>
      <c r="CHE208" s="112"/>
      <c r="CHF208" s="112"/>
      <c r="CHG208" s="112"/>
      <c r="CHH208" s="112"/>
      <c r="CHI208" s="112"/>
      <c r="CHJ208" s="112"/>
      <c r="CHK208" s="112"/>
      <c r="CHL208" s="112"/>
      <c r="CHM208" s="112"/>
      <c r="CHN208" s="112"/>
      <c r="CHO208" s="112"/>
      <c r="CHP208" s="112"/>
      <c r="CHQ208" s="112"/>
      <c r="CHR208" s="112"/>
      <c r="CHS208" s="112"/>
      <c r="CHT208" s="112"/>
      <c r="CHU208" s="112"/>
      <c r="CHV208" s="112"/>
      <c r="CHW208" s="112"/>
      <c r="CHX208" s="112"/>
      <c r="CHY208" s="112"/>
      <c r="CHZ208" s="112"/>
      <c r="CIA208" s="112"/>
      <c r="CIB208" s="112"/>
      <c r="CIC208" s="112"/>
      <c r="CID208" s="112"/>
      <c r="CIE208" s="112"/>
      <c r="CIF208" s="112"/>
      <c r="CIG208" s="112"/>
      <c r="CIH208" s="112"/>
      <c r="CII208" s="112"/>
      <c r="CIJ208" s="112"/>
      <c r="CIK208" s="112"/>
      <c r="CIL208" s="112"/>
      <c r="CIM208" s="112"/>
      <c r="CIN208" s="112"/>
      <c r="CIO208" s="112"/>
      <c r="CIP208" s="112"/>
      <c r="CIQ208" s="112"/>
      <c r="CIR208" s="112"/>
      <c r="CIS208" s="112"/>
      <c r="CIT208" s="112"/>
      <c r="CIU208" s="112"/>
      <c r="CIV208" s="112"/>
      <c r="CIW208" s="112"/>
      <c r="CIX208" s="112"/>
      <c r="CIY208" s="112"/>
      <c r="CIZ208" s="112"/>
      <c r="CJA208" s="112"/>
      <c r="CJB208" s="112"/>
      <c r="CJC208" s="112"/>
      <c r="CJD208" s="112"/>
      <c r="CJE208" s="112"/>
      <c r="CJF208" s="112"/>
      <c r="CJG208" s="112"/>
      <c r="CJH208" s="112"/>
      <c r="CJI208" s="112"/>
      <c r="CJJ208" s="112"/>
      <c r="CJK208" s="112"/>
      <c r="CJL208" s="112"/>
      <c r="CJM208" s="112"/>
      <c r="CJN208" s="112"/>
      <c r="CJO208" s="112"/>
      <c r="CJP208" s="112"/>
      <c r="CJQ208" s="112"/>
      <c r="CJR208" s="112"/>
      <c r="CJS208" s="112"/>
      <c r="CJT208" s="112"/>
      <c r="CJU208" s="112"/>
      <c r="CJV208" s="112"/>
      <c r="CJW208" s="112"/>
      <c r="CJX208" s="112"/>
      <c r="CJY208" s="112"/>
      <c r="CJZ208" s="112"/>
      <c r="CKA208" s="112"/>
      <c r="CKB208" s="112"/>
      <c r="CKC208" s="112"/>
      <c r="CKD208" s="112"/>
      <c r="CKE208" s="112"/>
      <c r="CKF208" s="112"/>
      <c r="CKG208" s="112"/>
      <c r="CKH208" s="112"/>
      <c r="CKI208" s="112"/>
      <c r="CKJ208" s="112"/>
      <c r="CKK208" s="112"/>
      <c r="CKL208" s="112"/>
      <c r="CKM208" s="112"/>
      <c r="CKN208" s="112"/>
      <c r="CKO208" s="112"/>
      <c r="CKP208" s="112"/>
      <c r="CKQ208" s="112"/>
      <c r="CKR208" s="112"/>
      <c r="CKS208" s="112"/>
      <c r="CKT208" s="112"/>
      <c r="CKU208" s="112"/>
      <c r="CKV208" s="112"/>
      <c r="CKW208" s="112"/>
      <c r="CKX208" s="112"/>
      <c r="CKY208" s="112"/>
      <c r="CKZ208" s="112"/>
      <c r="CLA208" s="112"/>
      <c r="CLB208" s="112"/>
      <c r="CLC208" s="112"/>
      <c r="CLD208" s="112"/>
      <c r="CLE208" s="112"/>
      <c r="CLF208" s="112"/>
      <c r="CLG208" s="112"/>
      <c r="CLH208" s="112"/>
      <c r="CLI208" s="112"/>
      <c r="CLJ208" s="112"/>
      <c r="CLK208" s="112"/>
      <c r="CLL208" s="112"/>
      <c r="CLM208" s="112"/>
      <c r="CLN208" s="112"/>
      <c r="CLO208" s="112"/>
      <c r="CLP208" s="112"/>
      <c r="CLQ208" s="112"/>
      <c r="CLR208" s="112"/>
      <c r="CLS208" s="112"/>
      <c r="CLT208" s="112"/>
      <c r="CLU208" s="112"/>
      <c r="CLV208" s="112"/>
      <c r="CLW208" s="112"/>
      <c r="CLX208" s="112"/>
      <c r="CLY208" s="112"/>
      <c r="CLZ208" s="112"/>
      <c r="CMA208" s="112"/>
      <c r="CMB208" s="112"/>
      <c r="CMC208" s="112"/>
      <c r="CMD208" s="112"/>
      <c r="CME208" s="112"/>
      <c r="CMF208" s="112"/>
      <c r="CMG208" s="112"/>
      <c r="CMH208" s="112"/>
      <c r="CMI208" s="112"/>
      <c r="CMJ208" s="112"/>
      <c r="CMK208" s="112"/>
      <c r="CML208" s="112"/>
      <c r="CMM208" s="112"/>
      <c r="CMN208" s="112"/>
      <c r="CMO208" s="112"/>
      <c r="CMP208" s="112"/>
      <c r="CMQ208" s="112"/>
      <c r="CMR208" s="112"/>
      <c r="CMS208" s="112"/>
      <c r="CMT208" s="112"/>
      <c r="CMU208" s="112"/>
      <c r="CMV208" s="112"/>
      <c r="CMW208" s="112"/>
      <c r="CMX208" s="112"/>
      <c r="CMY208" s="112"/>
      <c r="CMZ208" s="112"/>
      <c r="CNA208" s="112"/>
      <c r="CNB208" s="112"/>
      <c r="CNC208" s="112"/>
      <c r="CND208" s="112"/>
      <c r="CNE208" s="112"/>
      <c r="CNF208" s="112"/>
      <c r="CNG208" s="112"/>
      <c r="CNH208" s="112"/>
      <c r="CNI208" s="112"/>
      <c r="CNJ208" s="112"/>
      <c r="CNK208" s="112"/>
      <c r="CNL208" s="112"/>
      <c r="CNM208" s="112"/>
      <c r="CNN208" s="112"/>
      <c r="CNO208" s="112"/>
      <c r="CNP208" s="112"/>
      <c r="CNQ208" s="112"/>
      <c r="CNR208" s="112"/>
      <c r="CNS208" s="112"/>
      <c r="CNT208" s="112"/>
      <c r="CNU208" s="112"/>
      <c r="CNV208" s="112"/>
      <c r="CNW208" s="112"/>
      <c r="CNX208" s="112"/>
      <c r="CNY208" s="112"/>
      <c r="CNZ208" s="112"/>
      <c r="COA208" s="112"/>
      <c r="COB208" s="112"/>
      <c r="COC208" s="112"/>
      <c r="COD208" s="112"/>
      <c r="COE208" s="112"/>
      <c r="COF208" s="112"/>
      <c r="COG208" s="112"/>
      <c r="COH208" s="112"/>
      <c r="COI208" s="112"/>
      <c r="COJ208" s="112"/>
      <c r="COK208" s="112"/>
      <c r="COL208" s="112"/>
      <c r="COM208" s="112"/>
      <c r="CON208" s="112"/>
      <c r="COO208" s="112"/>
      <c r="COP208" s="112"/>
      <c r="COQ208" s="112"/>
      <c r="COR208" s="112"/>
      <c r="COS208" s="112"/>
      <c r="COT208" s="112"/>
      <c r="COU208" s="112"/>
      <c r="COV208" s="112"/>
      <c r="COW208" s="112"/>
      <c r="COX208" s="112"/>
      <c r="COY208" s="112"/>
      <c r="COZ208" s="112"/>
      <c r="CPA208" s="112"/>
      <c r="CPB208" s="112"/>
      <c r="CPC208" s="112"/>
      <c r="CPD208" s="112"/>
      <c r="CPE208" s="112"/>
      <c r="CPF208" s="112"/>
      <c r="CPG208" s="112"/>
      <c r="CPH208" s="112"/>
      <c r="CPI208" s="112"/>
      <c r="CPJ208" s="112"/>
      <c r="CPK208" s="112"/>
      <c r="CPL208" s="112"/>
      <c r="CPM208" s="112"/>
      <c r="CPN208" s="112"/>
      <c r="CPO208" s="112"/>
      <c r="CPP208" s="112"/>
      <c r="CPQ208" s="112"/>
      <c r="CPR208" s="112"/>
      <c r="CPS208" s="112"/>
      <c r="CPT208" s="112"/>
      <c r="CPU208" s="112"/>
      <c r="CPV208" s="112"/>
      <c r="CPW208" s="112"/>
      <c r="CPX208" s="112"/>
      <c r="CPY208" s="112"/>
      <c r="CPZ208" s="112"/>
      <c r="CQA208" s="112"/>
      <c r="CQB208" s="112"/>
      <c r="CQC208" s="112"/>
      <c r="CQD208" s="112"/>
      <c r="CQE208" s="112"/>
      <c r="CQF208" s="112"/>
      <c r="CQG208" s="112"/>
      <c r="CQH208" s="112"/>
      <c r="CQI208" s="112"/>
      <c r="CQJ208" s="112"/>
      <c r="CQK208" s="112"/>
      <c r="CQL208" s="112"/>
      <c r="CQM208" s="112"/>
      <c r="CQN208" s="112"/>
      <c r="CQO208" s="112"/>
      <c r="CQP208" s="112"/>
      <c r="CQQ208" s="112"/>
      <c r="CQR208" s="112"/>
      <c r="CQS208" s="112"/>
      <c r="CQT208" s="112"/>
      <c r="CQU208" s="112"/>
      <c r="CQV208" s="112"/>
      <c r="CQW208" s="112"/>
      <c r="CQX208" s="112"/>
      <c r="CQY208" s="112"/>
      <c r="CQZ208" s="112"/>
      <c r="CRA208" s="112"/>
      <c r="CRB208" s="112"/>
      <c r="CRC208" s="112"/>
      <c r="CRD208" s="112"/>
      <c r="CRE208" s="112"/>
      <c r="CRF208" s="112"/>
      <c r="CRG208" s="112"/>
      <c r="CRH208" s="112"/>
      <c r="CRI208" s="112"/>
      <c r="CRJ208" s="112"/>
      <c r="CRK208" s="112"/>
      <c r="CRL208" s="112"/>
      <c r="CRM208" s="112"/>
      <c r="CRN208" s="112"/>
      <c r="CRO208" s="112"/>
      <c r="CRP208" s="112"/>
      <c r="CRQ208" s="112"/>
      <c r="CRR208" s="112"/>
      <c r="CRS208" s="112"/>
      <c r="CRT208" s="112"/>
      <c r="CRU208" s="112"/>
      <c r="CRV208" s="112"/>
      <c r="CRW208" s="112"/>
      <c r="CRX208" s="112"/>
      <c r="CRY208" s="112"/>
      <c r="CRZ208" s="112"/>
      <c r="CSA208" s="112"/>
      <c r="CSB208" s="112"/>
      <c r="CSC208" s="112"/>
      <c r="CSD208" s="112"/>
      <c r="CSE208" s="112"/>
      <c r="CSF208" s="112"/>
      <c r="CSG208" s="112"/>
      <c r="CSH208" s="112"/>
      <c r="CSI208" s="112"/>
      <c r="CSJ208" s="112"/>
      <c r="CSK208" s="112"/>
      <c r="CSL208" s="112"/>
      <c r="CSM208" s="112"/>
      <c r="CSN208" s="112"/>
      <c r="CSO208" s="112"/>
      <c r="CSP208" s="112"/>
      <c r="CSQ208" s="112"/>
      <c r="CSR208" s="112"/>
      <c r="CSS208" s="112"/>
      <c r="CST208" s="112"/>
      <c r="CSU208" s="112"/>
      <c r="CSV208" s="112"/>
      <c r="CSW208" s="112"/>
      <c r="CSX208" s="112"/>
      <c r="CSY208" s="112"/>
      <c r="CSZ208" s="112"/>
      <c r="CTA208" s="112"/>
      <c r="CTB208" s="112"/>
      <c r="CTC208" s="112"/>
      <c r="CTD208" s="112"/>
      <c r="CTE208" s="112"/>
      <c r="CTF208" s="112"/>
      <c r="CTG208" s="112"/>
      <c r="CTH208" s="112"/>
      <c r="CTI208" s="112"/>
      <c r="CTJ208" s="112"/>
      <c r="CTK208" s="112"/>
      <c r="CTL208" s="112"/>
      <c r="CTM208" s="112"/>
      <c r="CTN208" s="112"/>
      <c r="CTO208" s="112"/>
      <c r="CTP208" s="112"/>
      <c r="CTQ208" s="112"/>
      <c r="CTR208" s="112"/>
      <c r="CTS208" s="112"/>
      <c r="CTT208" s="112"/>
      <c r="CTU208" s="112"/>
      <c r="CTV208" s="112"/>
      <c r="CTW208" s="112"/>
      <c r="CTX208" s="112"/>
      <c r="CTY208" s="112"/>
      <c r="CTZ208" s="112"/>
      <c r="CUA208" s="112"/>
      <c r="CUB208" s="112"/>
      <c r="CUC208" s="112"/>
      <c r="CUD208" s="112"/>
      <c r="CUE208" s="112"/>
      <c r="CUF208" s="112"/>
      <c r="CUG208" s="112"/>
      <c r="CUH208" s="112"/>
      <c r="CUI208" s="112"/>
      <c r="CUJ208" s="112"/>
      <c r="CUK208" s="112"/>
      <c r="CUL208" s="112"/>
      <c r="CUM208" s="112"/>
      <c r="CUN208" s="112"/>
      <c r="CUO208" s="112"/>
      <c r="CUP208" s="112"/>
      <c r="CUQ208" s="112"/>
      <c r="CUR208" s="112"/>
      <c r="CUS208" s="112"/>
      <c r="CUT208" s="112"/>
      <c r="CUU208" s="112"/>
      <c r="CUV208" s="112"/>
      <c r="CUW208" s="112"/>
      <c r="CUX208" s="112"/>
      <c r="CUY208" s="112"/>
      <c r="CUZ208" s="112"/>
      <c r="CVA208" s="112"/>
      <c r="CVB208" s="112"/>
      <c r="CVC208" s="112"/>
      <c r="CVD208" s="112"/>
      <c r="CVE208" s="112"/>
      <c r="CVF208" s="112"/>
      <c r="CVG208" s="112"/>
      <c r="CVH208" s="112"/>
      <c r="CVI208" s="112"/>
      <c r="CVJ208" s="112"/>
      <c r="CVK208" s="112"/>
      <c r="CVL208" s="112"/>
      <c r="CVM208" s="112"/>
      <c r="CVN208" s="112"/>
      <c r="CVO208" s="112"/>
      <c r="CVP208" s="112"/>
      <c r="CVQ208" s="112"/>
      <c r="CVR208" s="112"/>
      <c r="CVS208" s="112"/>
      <c r="CVT208" s="112"/>
      <c r="CVU208" s="112"/>
      <c r="CVV208" s="112"/>
      <c r="CVW208" s="112"/>
      <c r="CVX208" s="112"/>
      <c r="CVY208" s="112"/>
      <c r="CVZ208" s="112"/>
      <c r="CWA208" s="112"/>
      <c r="CWB208" s="112"/>
      <c r="CWC208" s="112"/>
      <c r="CWD208" s="112"/>
      <c r="CWE208" s="112"/>
      <c r="CWF208" s="112"/>
      <c r="CWG208" s="112"/>
      <c r="CWH208" s="112"/>
      <c r="CWI208" s="112"/>
      <c r="CWJ208" s="112"/>
      <c r="CWK208" s="112"/>
      <c r="CWL208" s="112"/>
      <c r="CWM208" s="112"/>
      <c r="CWN208" s="112"/>
      <c r="CWO208" s="112"/>
      <c r="CWP208" s="112"/>
      <c r="CWQ208" s="112"/>
      <c r="CWR208" s="112"/>
      <c r="CWS208" s="112"/>
      <c r="CWT208" s="112"/>
      <c r="CWU208" s="112"/>
      <c r="CWV208" s="112"/>
      <c r="CWW208" s="112"/>
      <c r="CWX208" s="112"/>
      <c r="CWY208" s="112"/>
      <c r="CWZ208" s="112"/>
      <c r="CXA208" s="112"/>
      <c r="CXB208" s="112"/>
      <c r="CXC208" s="112"/>
      <c r="CXD208" s="112"/>
      <c r="CXE208" s="112"/>
      <c r="CXF208" s="112"/>
      <c r="CXG208" s="112"/>
      <c r="CXH208" s="112"/>
      <c r="CXI208" s="112"/>
      <c r="CXJ208" s="112"/>
      <c r="CXK208" s="112"/>
      <c r="CXL208" s="112"/>
      <c r="CXM208" s="112"/>
      <c r="CXN208" s="112"/>
      <c r="CXO208" s="112"/>
      <c r="CXP208" s="112"/>
      <c r="CXQ208" s="112"/>
      <c r="CXR208" s="112"/>
      <c r="CXS208" s="112"/>
      <c r="CXT208" s="112"/>
      <c r="CXU208" s="112"/>
      <c r="CXV208" s="112"/>
      <c r="CXW208" s="112"/>
      <c r="CXX208" s="112"/>
      <c r="CXY208" s="112"/>
      <c r="CXZ208" s="112"/>
      <c r="CYA208" s="112"/>
      <c r="CYB208" s="112"/>
      <c r="CYC208" s="112"/>
      <c r="CYD208" s="112"/>
      <c r="CYE208" s="112"/>
      <c r="CYF208" s="112"/>
      <c r="CYG208" s="112"/>
      <c r="CYH208" s="112"/>
      <c r="CYI208" s="112"/>
      <c r="CYJ208" s="112"/>
      <c r="CYK208" s="112"/>
      <c r="CYL208" s="112"/>
      <c r="CYM208" s="112"/>
      <c r="CYN208" s="112"/>
      <c r="CYO208" s="112"/>
      <c r="CYP208" s="112"/>
      <c r="CYQ208" s="112"/>
      <c r="CYR208" s="112"/>
      <c r="CYS208" s="112"/>
      <c r="CYT208" s="112"/>
      <c r="CYU208" s="112"/>
      <c r="CYV208" s="112"/>
      <c r="CYW208" s="112"/>
      <c r="CYX208" s="112"/>
      <c r="CYY208" s="112"/>
      <c r="CYZ208" s="112"/>
      <c r="CZA208" s="112"/>
      <c r="CZB208" s="112"/>
      <c r="CZC208" s="112"/>
      <c r="CZD208" s="112"/>
      <c r="CZE208" s="112"/>
      <c r="CZF208" s="112"/>
      <c r="CZG208" s="112"/>
      <c r="CZH208" s="112"/>
      <c r="CZI208" s="112"/>
      <c r="CZJ208" s="112"/>
      <c r="CZK208" s="112"/>
      <c r="CZL208" s="112"/>
      <c r="CZM208" s="112"/>
      <c r="CZN208" s="112"/>
      <c r="CZO208" s="112"/>
      <c r="CZP208" s="112"/>
      <c r="CZQ208" s="112"/>
      <c r="CZR208" s="112"/>
      <c r="CZS208" s="112"/>
      <c r="CZT208" s="112"/>
      <c r="CZU208" s="112"/>
      <c r="CZV208" s="112"/>
      <c r="CZW208" s="112"/>
      <c r="CZX208" s="112"/>
      <c r="CZY208" s="112"/>
      <c r="CZZ208" s="112"/>
      <c r="DAA208" s="112"/>
      <c r="DAB208" s="112"/>
      <c r="DAC208" s="112"/>
      <c r="DAD208" s="112"/>
      <c r="DAE208" s="112"/>
      <c r="DAF208" s="112"/>
      <c r="DAG208" s="112"/>
      <c r="DAH208" s="112"/>
      <c r="DAI208" s="112"/>
      <c r="DAJ208" s="112"/>
      <c r="DAK208" s="112"/>
      <c r="DAL208" s="112"/>
      <c r="DAM208" s="112"/>
      <c r="DAN208" s="112"/>
      <c r="DAO208" s="112"/>
      <c r="DAP208" s="112"/>
      <c r="DAQ208" s="112"/>
      <c r="DAR208" s="112"/>
      <c r="DAS208" s="112"/>
      <c r="DAT208" s="112"/>
      <c r="DAU208" s="112"/>
      <c r="DAV208" s="112"/>
      <c r="DAW208" s="112"/>
      <c r="DAX208" s="112"/>
      <c r="DAY208" s="112"/>
      <c r="DAZ208" s="112"/>
      <c r="DBA208" s="112"/>
      <c r="DBB208" s="112"/>
      <c r="DBC208" s="112"/>
      <c r="DBD208" s="112"/>
      <c r="DBE208" s="112"/>
      <c r="DBF208" s="112"/>
      <c r="DBG208" s="112"/>
      <c r="DBH208" s="112"/>
      <c r="DBI208" s="112"/>
      <c r="DBJ208" s="112"/>
      <c r="DBK208" s="112"/>
      <c r="DBL208" s="112"/>
      <c r="DBM208" s="112"/>
      <c r="DBN208" s="112"/>
      <c r="DBO208" s="112"/>
      <c r="DBP208" s="112"/>
      <c r="DBQ208" s="112"/>
      <c r="DBR208" s="112"/>
      <c r="DBS208" s="112"/>
      <c r="DBT208" s="112"/>
      <c r="DBU208" s="112"/>
      <c r="DBV208" s="112"/>
      <c r="DBW208" s="112"/>
      <c r="DBX208" s="112"/>
      <c r="DBY208" s="112"/>
      <c r="DBZ208" s="112"/>
      <c r="DCA208" s="112"/>
      <c r="DCB208" s="112"/>
      <c r="DCC208" s="112"/>
      <c r="DCD208" s="112"/>
      <c r="DCE208" s="112"/>
      <c r="DCF208" s="112"/>
      <c r="DCG208" s="112"/>
      <c r="DCH208" s="112"/>
      <c r="DCI208" s="112"/>
      <c r="DCJ208" s="112"/>
      <c r="DCK208" s="112"/>
      <c r="DCL208" s="112"/>
      <c r="DCM208" s="112"/>
      <c r="DCN208" s="112"/>
      <c r="DCO208" s="112"/>
      <c r="DCP208" s="112"/>
      <c r="DCQ208" s="112"/>
      <c r="DCR208" s="112"/>
      <c r="DCS208" s="112"/>
      <c r="DCT208" s="112"/>
      <c r="DCU208" s="112"/>
      <c r="DCV208" s="112"/>
      <c r="DCW208" s="112"/>
      <c r="DCX208" s="112"/>
      <c r="DCY208" s="112"/>
      <c r="DCZ208" s="112"/>
      <c r="DDA208" s="112"/>
      <c r="DDB208" s="112"/>
      <c r="DDC208" s="112"/>
      <c r="DDD208" s="112"/>
      <c r="DDE208" s="112"/>
      <c r="DDF208" s="112"/>
      <c r="DDG208" s="112"/>
      <c r="DDH208" s="112"/>
      <c r="DDI208" s="112"/>
      <c r="DDJ208" s="112"/>
      <c r="DDK208" s="112"/>
      <c r="DDL208" s="112"/>
      <c r="DDM208" s="112"/>
      <c r="DDN208" s="112"/>
      <c r="DDO208" s="112"/>
      <c r="DDP208" s="112"/>
      <c r="DDQ208" s="112"/>
      <c r="DDR208" s="112"/>
      <c r="DDS208" s="112"/>
      <c r="DDT208" s="112"/>
      <c r="DDU208" s="112"/>
      <c r="DDV208" s="112"/>
      <c r="DDW208" s="112"/>
      <c r="DDX208" s="112"/>
      <c r="DDY208" s="112"/>
      <c r="DDZ208" s="112"/>
      <c r="DEA208" s="112"/>
      <c r="DEB208" s="112"/>
      <c r="DEC208" s="112"/>
      <c r="DED208" s="112"/>
      <c r="DEE208" s="112"/>
      <c r="DEF208" s="112"/>
      <c r="DEG208" s="112"/>
      <c r="DEH208" s="112"/>
      <c r="DEI208" s="112"/>
      <c r="DEJ208" s="112"/>
      <c r="DEK208" s="112"/>
      <c r="DEL208" s="112"/>
      <c r="DEM208" s="112"/>
      <c r="DEN208" s="112"/>
      <c r="DEO208" s="112"/>
      <c r="DEP208" s="112"/>
      <c r="DEQ208" s="112"/>
      <c r="DER208" s="112"/>
      <c r="DES208" s="112"/>
      <c r="DET208" s="112"/>
      <c r="DEU208" s="112"/>
      <c r="DEV208" s="112"/>
      <c r="DEW208" s="112"/>
      <c r="DEX208" s="112"/>
      <c r="DEY208" s="112"/>
      <c r="DEZ208" s="112"/>
      <c r="DFA208" s="112"/>
      <c r="DFB208" s="112"/>
      <c r="DFC208" s="112"/>
      <c r="DFD208" s="112"/>
      <c r="DFE208" s="112"/>
      <c r="DFF208" s="112"/>
      <c r="DFG208" s="112"/>
      <c r="DFH208" s="112"/>
      <c r="DFI208" s="112"/>
      <c r="DFJ208" s="112"/>
      <c r="DFK208" s="112"/>
      <c r="DFL208" s="112"/>
      <c r="DFM208" s="112"/>
      <c r="DFN208" s="112"/>
      <c r="DFO208" s="112"/>
      <c r="DFP208" s="112"/>
      <c r="DFQ208" s="112"/>
      <c r="DFR208" s="112"/>
      <c r="DFS208" s="112"/>
      <c r="DFT208" s="112"/>
      <c r="DFU208" s="112"/>
      <c r="DFV208" s="112"/>
      <c r="DFW208" s="112"/>
      <c r="DFX208" s="112"/>
      <c r="DFY208" s="112"/>
      <c r="DFZ208" s="112"/>
      <c r="DGA208" s="112"/>
      <c r="DGB208" s="112"/>
      <c r="DGC208" s="112"/>
      <c r="DGD208" s="112"/>
      <c r="DGE208" s="112"/>
      <c r="DGF208" s="112"/>
      <c r="DGG208" s="112"/>
      <c r="DGH208" s="112"/>
      <c r="DGI208" s="112"/>
      <c r="DGJ208" s="112"/>
      <c r="DGK208" s="112"/>
      <c r="DGL208" s="112"/>
      <c r="DGM208" s="112"/>
      <c r="DGN208" s="112"/>
      <c r="DGO208" s="112"/>
      <c r="DGP208" s="112"/>
      <c r="DGQ208" s="112"/>
      <c r="DGR208" s="112"/>
      <c r="DGS208" s="112"/>
      <c r="DGT208" s="112"/>
      <c r="DGU208" s="112"/>
      <c r="DGV208" s="112"/>
      <c r="DGW208" s="112"/>
      <c r="DGX208" s="112"/>
      <c r="DGY208" s="112"/>
      <c r="DGZ208" s="112"/>
      <c r="DHA208" s="112"/>
      <c r="DHB208" s="112"/>
      <c r="DHC208" s="112"/>
      <c r="DHD208" s="112"/>
      <c r="DHE208" s="112"/>
      <c r="DHF208" s="112"/>
      <c r="DHG208" s="112"/>
      <c r="DHH208" s="112"/>
      <c r="DHI208" s="112"/>
      <c r="DHJ208" s="112"/>
      <c r="DHK208" s="112"/>
      <c r="DHL208" s="112"/>
      <c r="DHM208" s="112"/>
      <c r="DHN208" s="112"/>
      <c r="DHO208" s="112"/>
      <c r="DHP208" s="112"/>
      <c r="DHQ208" s="112"/>
      <c r="DHR208" s="112"/>
      <c r="DHS208" s="112"/>
      <c r="DHT208" s="112"/>
      <c r="DHU208" s="112"/>
      <c r="DHV208" s="112"/>
      <c r="DHW208" s="112"/>
      <c r="DHX208" s="112"/>
      <c r="DHY208" s="112"/>
      <c r="DHZ208" s="112"/>
      <c r="DIA208" s="112"/>
      <c r="DIB208" s="112"/>
      <c r="DIC208" s="112"/>
      <c r="DID208" s="112"/>
      <c r="DIE208" s="112"/>
      <c r="DIF208" s="112"/>
      <c r="DIG208" s="112"/>
      <c r="DIH208" s="112"/>
      <c r="DII208" s="112"/>
      <c r="DIJ208" s="112"/>
      <c r="DIK208" s="112"/>
      <c r="DIL208" s="112"/>
      <c r="DIM208" s="112"/>
      <c r="DIN208" s="112"/>
      <c r="DIO208" s="112"/>
      <c r="DIP208" s="112"/>
      <c r="DIQ208" s="112"/>
      <c r="DIR208" s="112"/>
      <c r="DIS208" s="112"/>
      <c r="DIT208" s="112"/>
      <c r="DIU208" s="112"/>
      <c r="DIV208" s="112"/>
      <c r="DIW208" s="112"/>
      <c r="DIX208" s="112"/>
      <c r="DIY208" s="112"/>
      <c r="DIZ208" s="112"/>
      <c r="DJA208" s="112"/>
      <c r="DJB208" s="112"/>
      <c r="DJC208" s="112"/>
      <c r="DJD208" s="112"/>
      <c r="DJE208" s="112"/>
      <c r="DJF208" s="112"/>
      <c r="DJG208" s="112"/>
      <c r="DJH208" s="112"/>
      <c r="DJI208" s="112"/>
      <c r="DJJ208" s="112"/>
      <c r="DJK208" s="112"/>
      <c r="DJL208" s="112"/>
      <c r="DJM208" s="112"/>
      <c r="DJN208" s="112"/>
      <c r="DJO208" s="112"/>
      <c r="DJP208" s="112"/>
      <c r="DJQ208" s="112"/>
      <c r="DJR208" s="112"/>
      <c r="DJS208" s="112"/>
      <c r="DJT208" s="112"/>
      <c r="DJU208" s="112"/>
      <c r="DJV208" s="112"/>
      <c r="DJW208" s="112"/>
      <c r="DJX208" s="112"/>
      <c r="DJY208" s="112"/>
      <c r="DJZ208" s="112"/>
      <c r="DKA208" s="112"/>
      <c r="DKB208" s="112"/>
      <c r="DKC208" s="112"/>
      <c r="DKD208" s="112"/>
      <c r="DKE208" s="112"/>
      <c r="DKF208" s="112"/>
      <c r="DKG208" s="112"/>
      <c r="DKH208" s="112"/>
      <c r="DKI208" s="112"/>
      <c r="DKJ208" s="112"/>
      <c r="DKK208" s="112"/>
      <c r="DKL208" s="112"/>
      <c r="DKM208" s="112"/>
      <c r="DKN208" s="112"/>
      <c r="DKO208" s="112"/>
      <c r="DKP208" s="112"/>
      <c r="DKQ208" s="112"/>
      <c r="DKR208" s="112"/>
      <c r="DKS208" s="112"/>
      <c r="DKT208" s="112"/>
      <c r="DKU208" s="112"/>
      <c r="DKV208" s="112"/>
      <c r="DKW208" s="112"/>
      <c r="DKX208" s="112"/>
      <c r="DKY208" s="112"/>
      <c r="DKZ208" s="112"/>
      <c r="DLA208" s="112"/>
      <c r="DLB208" s="112"/>
      <c r="DLC208" s="112"/>
      <c r="DLD208" s="112"/>
      <c r="DLE208" s="112"/>
      <c r="DLF208" s="112"/>
      <c r="DLG208" s="112"/>
      <c r="DLH208" s="112"/>
      <c r="DLI208" s="112"/>
      <c r="DLJ208" s="112"/>
      <c r="DLK208" s="112"/>
      <c r="DLL208" s="112"/>
      <c r="DLM208" s="112"/>
      <c r="DLN208" s="112"/>
      <c r="DLO208" s="112"/>
      <c r="DLP208" s="112"/>
      <c r="DLQ208" s="112"/>
      <c r="DLR208" s="112"/>
      <c r="DLS208" s="112"/>
      <c r="DLT208" s="112"/>
      <c r="DLU208" s="112"/>
      <c r="DLV208" s="112"/>
      <c r="DLW208" s="112"/>
      <c r="DLX208" s="112"/>
      <c r="DLY208" s="112"/>
      <c r="DLZ208" s="112"/>
      <c r="DMA208" s="112"/>
      <c r="DMB208" s="112"/>
      <c r="DMC208" s="112"/>
      <c r="DMD208" s="112"/>
      <c r="DME208" s="112"/>
      <c r="DMF208" s="112"/>
      <c r="DMG208" s="112"/>
      <c r="DMH208" s="112"/>
      <c r="DMI208" s="112"/>
      <c r="DMJ208" s="112"/>
      <c r="DMK208" s="112"/>
      <c r="DML208" s="112"/>
      <c r="DMM208" s="112"/>
      <c r="DMN208" s="112"/>
      <c r="DMO208" s="112"/>
      <c r="DMP208" s="112"/>
      <c r="DMQ208" s="112"/>
      <c r="DMR208" s="112"/>
      <c r="DMS208" s="112"/>
      <c r="DMT208" s="112"/>
      <c r="DMU208" s="112"/>
      <c r="DMV208" s="112"/>
      <c r="DMW208" s="112"/>
      <c r="DMX208" s="112"/>
      <c r="DMY208" s="112"/>
      <c r="DMZ208" s="112"/>
      <c r="DNA208" s="112"/>
      <c r="DNB208" s="112"/>
      <c r="DNC208" s="112"/>
      <c r="DND208" s="112"/>
      <c r="DNE208" s="112"/>
      <c r="DNF208" s="112"/>
      <c r="DNG208" s="112"/>
      <c r="DNH208" s="112"/>
      <c r="DNI208" s="112"/>
      <c r="DNJ208" s="112"/>
      <c r="DNK208" s="112"/>
      <c r="DNL208" s="112"/>
      <c r="DNM208" s="112"/>
      <c r="DNN208" s="112"/>
      <c r="DNO208" s="112"/>
      <c r="DNP208" s="112"/>
      <c r="DNQ208" s="112"/>
      <c r="DNR208" s="112"/>
      <c r="DNS208" s="112"/>
      <c r="DNT208" s="112"/>
      <c r="DNU208" s="112"/>
      <c r="DNV208" s="112"/>
      <c r="DNW208" s="112"/>
      <c r="DNX208" s="112"/>
      <c r="DNY208" s="112"/>
      <c r="DNZ208" s="112"/>
      <c r="DOA208" s="112"/>
      <c r="DOB208" s="112"/>
      <c r="DOC208" s="112"/>
      <c r="DOD208" s="112"/>
      <c r="DOE208" s="112"/>
      <c r="DOF208" s="112"/>
      <c r="DOG208" s="112"/>
      <c r="DOH208" s="112"/>
      <c r="DOI208" s="112"/>
      <c r="DOJ208" s="112"/>
      <c r="DOK208" s="112"/>
      <c r="DOL208" s="112"/>
      <c r="DOM208" s="112"/>
      <c r="DON208" s="112"/>
      <c r="DOO208" s="112"/>
      <c r="DOP208" s="112"/>
      <c r="DOQ208" s="112"/>
      <c r="DOR208" s="112"/>
      <c r="DOS208" s="112"/>
      <c r="DOT208" s="112"/>
      <c r="DOU208" s="112"/>
      <c r="DOV208" s="112"/>
      <c r="DOW208" s="112"/>
      <c r="DOX208" s="112"/>
      <c r="DOY208" s="112"/>
      <c r="DOZ208" s="112"/>
      <c r="DPA208" s="112"/>
      <c r="DPB208" s="112"/>
      <c r="DPC208" s="112"/>
      <c r="DPD208" s="112"/>
      <c r="DPE208" s="112"/>
      <c r="DPF208" s="112"/>
      <c r="DPG208" s="112"/>
      <c r="DPH208" s="112"/>
      <c r="DPI208" s="112"/>
      <c r="DPJ208" s="112"/>
      <c r="DPK208" s="112"/>
      <c r="DPL208" s="112"/>
      <c r="DPM208" s="112"/>
      <c r="DPN208" s="112"/>
      <c r="DPO208" s="112"/>
      <c r="DPP208" s="112"/>
      <c r="DPQ208" s="112"/>
      <c r="DPR208" s="112"/>
      <c r="DPS208" s="112"/>
      <c r="DPT208" s="112"/>
      <c r="DPU208" s="112"/>
      <c r="DPV208" s="112"/>
      <c r="DPW208" s="112"/>
      <c r="DPX208" s="112"/>
      <c r="DPY208" s="112"/>
      <c r="DPZ208" s="112"/>
      <c r="DQA208" s="112"/>
      <c r="DQB208" s="112"/>
      <c r="DQC208" s="112"/>
      <c r="DQD208" s="112"/>
      <c r="DQE208" s="112"/>
      <c r="DQF208" s="112"/>
      <c r="DQG208" s="112"/>
      <c r="DQH208" s="112"/>
      <c r="DQI208" s="112"/>
      <c r="DQJ208" s="112"/>
      <c r="DQK208" s="112"/>
      <c r="DQL208" s="112"/>
      <c r="DQM208" s="112"/>
      <c r="DQN208" s="112"/>
      <c r="DQO208" s="112"/>
      <c r="DQP208" s="112"/>
      <c r="DQQ208" s="112"/>
      <c r="DQR208" s="112"/>
      <c r="DQS208" s="112"/>
      <c r="DQT208" s="112"/>
      <c r="DQU208" s="112"/>
      <c r="DQV208" s="112"/>
      <c r="DQW208" s="112"/>
      <c r="DQX208" s="112"/>
      <c r="DQY208" s="112"/>
      <c r="DQZ208" s="112"/>
      <c r="DRA208" s="112"/>
      <c r="DRB208" s="112"/>
      <c r="DRC208" s="112"/>
      <c r="DRD208" s="112"/>
      <c r="DRE208" s="112"/>
      <c r="DRF208" s="112"/>
      <c r="DRG208" s="112"/>
      <c r="DRH208" s="112"/>
      <c r="DRI208" s="112"/>
      <c r="DRJ208" s="112"/>
      <c r="DRK208" s="112"/>
      <c r="DRL208" s="112"/>
      <c r="DRM208" s="112"/>
      <c r="DRN208" s="112"/>
      <c r="DRO208" s="112"/>
      <c r="DRP208" s="112"/>
      <c r="DRQ208" s="112"/>
      <c r="DRR208" s="112"/>
      <c r="DRS208" s="112"/>
      <c r="DRT208" s="112"/>
      <c r="DRU208" s="112"/>
      <c r="DRV208" s="112"/>
      <c r="DRW208" s="112"/>
      <c r="DRX208" s="112"/>
      <c r="DRY208" s="112"/>
      <c r="DRZ208" s="112"/>
      <c r="DSA208" s="112"/>
      <c r="DSB208" s="112"/>
      <c r="DSC208" s="112"/>
      <c r="DSD208" s="112"/>
      <c r="DSE208" s="112"/>
      <c r="DSF208" s="112"/>
      <c r="DSG208" s="112"/>
      <c r="DSH208" s="112"/>
      <c r="DSI208" s="112"/>
      <c r="DSJ208" s="112"/>
      <c r="DSK208" s="112"/>
      <c r="DSL208" s="112"/>
      <c r="DSM208" s="112"/>
      <c r="DSN208" s="112"/>
      <c r="DSO208" s="112"/>
      <c r="DSP208" s="112"/>
      <c r="DSQ208" s="112"/>
      <c r="DSR208" s="112"/>
      <c r="DSS208" s="112"/>
      <c r="DST208" s="112"/>
      <c r="DSU208" s="112"/>
      <c r="DSV208" s="112"/>
      <c r="DSW208" s="112"/>
      <c r="DSX208" s="112"/>
      <c r="DSY208" s="112"/>
      <c r="DSZ208" s="112"/>
      <c r="DTA208" s="112"/>
      <c r="DTB208" s="112"/>
      <c r="DTC208" s="112"/>
      <c r="DTD208" s="112"/>
      <c r="DTE208" s="112"/>
      <c r="DTF208" s="112"/>
      <c r="DTG208" s="112"/>
      <c r="DTH208" s="112"/>
      <c r="DTI208" s="112"/>
      <c r="DTJ208" s="112"/>
      <c r="DTK208" s="112"/>
      <c r="DTL208" s="112"/>
      <c r="DTM208" s="112"/>
      <c r="DTN208" s="112"/>
      <c r="DTO208" s="112"/>
      <c r="DTP208" s="112"/>
      <c r="DTQ208" s="112"/>
      <c r="DTR208" s="112"/>
      <c r="DTS208" s="112"/>
      <c r="DTT208" s="112"/>
      <c r="DTU208" s="112"/>
      <c r="DTV208" s="112"/>
      <c r="DTW208" s="112"/>
      <c r="DTX208" s="112"/>
      <c r="DTY208" s="112"/>
      <c r="DTZ208" s="112"/>
      <c r="DUA208" s="112"/>
      <c r="DUB208" s="112"/>
      <c r="DUC208" s="112"/>
      <c r="DUD208" s="112"/>
      <c r="DUE208" s="112"/>
      <c r="DUF208" s="112"/>
      <c r="DUG208" s="112"/>
      <c r="DUH208" s="112"/>
      <c r="DUI208" s="112"/>
      <c r="DUJ208" s="112"/>
      <c r="DUK208" s="112"/>
      <c r="DUL208" s="112"/>
      <c r="DUM208" s="112"/>
      <c r="DUN208" s="112"/>
      <c r="DUO208" s="112"/>
      <c r="DUP208" s="112"/>
      <c r="DUQ208" s="112"/>
      <c r="DUR208" s="112"/>
      <c r="DUS208" s="112"/>
      <c r="DUT208" s="112"/>
      <c r="DUU208" s="112"/>
      <c r="DUV208" s="112"/>
      <c r="DUW208" s="112"/>
      <c r="DUX208" s="112"/>
      <c r="DUY208" s="112"/>
      <c r="DUZ208" s="112"/>
      <c r="DVA208" s="112"/>
      <c r="DVB208" s="112"/>
      <c r="DVC208" s="112"/>
      <c r="DVD208" s="112"/>
      <c r="DVE208" s="112"/>
      <c r="DVF208" s="112"/>
      <c r="DVG208" s="112"/>
      <c r="DVH208" s="112"/>
      <c r="DVI208" s="112"/>
      <c r="DVJ208" s="112"/>
      <c r="DVK208" s="112"/>
      <c r="DVL208" s="112"/>
      <c r="DVM208" s="112"/>
      <c r="DVN208" s="112"/>
      <c r="DVO208" s="112"/>
      <c r="DVP208" s="112"/>
      <c r="DVQ208" s="112"/>
      <c r="DVR208" s="112"/>
      <c r="DVS208" s="112"/>
      <c r="DVT208" s="112"/>
      <c r="DVU208" s="112"/>
      <c r="DVV208" s="112"/>
      <c r="DVW208" s="112"/>
      <c r="DVX208" s="112"/>
      <c r="DVY208" s="112"/>
      <c r="DVZ208" s="112"/>
      <c r="DWA208" s="112"/>
      <c r="DWB208" s="112"/>
      <c r="DWC208" s="112"/>
      <c r="DWD208" s="112"/>
      <c r="DWE208" s="112"/>
      <c r="DWF208" s="112"/>
      <c r="DWG208" s="112"/>
      <c r="DWH208" s="112"/>
      <c r="DWI208" s="112"/>
      <c r="DWJ208" s="112"/>
      <c r="DWK208" s="112"/>
      <c r="DWL208" s="112"/>
      <c r="DWM208" s="112"/>
      <c r="DWN208" s="112"/>
      <c r="DWO208" s="112"/>
      <c r="DWP208" s="112"/>
      <c r="DWQ208" s="112"/>
      <c r="DWR208" s="112"/>
      <c r="DWS208" s="112"/>
      <c r="DWT208" s="112"/>
      <c r="DWU208" s="112"/>
      <c r="DWV208" s="112"/>
      <c r="DWW208" s="112"/>
      <c r="DWX208" s="112"/>
      <c r="DWY208" s="112"/>
      <c r="DWZ208" s="112"/>
      <c r="DXA208" s="112"/>
      <c r="DXB208" s="112"/>
      <c r="DXC208" s="112"/>
      <c r="DXD208" s="112"/>
      <c r="DXE208" s="112"/>
      <c r="DXF208" s="112"/>
      <c r="DXG208" s="112"/>
      <c r="DXH208" s="112"/>
      <c r="DXI208" s="112"/>
      <c r="DXJ208" s="112"/>
      <c r="DXK208" s="112"/>
      <c r="DXL208" s="112"/>
      <c r="DXM208" s="112"/>
      <c r="DXN208" s="112"/>
      <c r="DXO208" s="112"/>
      <c r="DXP208" s="112"/>
      <c r="DXQ208" s="112"/>
      <c r="DXR208" s="112"/>
      <c r="DXS208" s="112"/>
      <c r="DXT208" s="112"/>
      <c r="DXU208" s="112"/>
      <c r="DXV208" s="112"/>
      <c r="DXW208" s="112"/>
      <c r="DXX208" s="112"/>
      <c r="DXY208" s="112"/>
      <c r="DXZ208" s="112"/>
      <c r="DYA208" s="112"/>
      <c r="DYB208" s="112"/>
      <c r="DYC208" s="112"/>
      <c r="DYD208" s="112"/>
      <c r="DYE208" s="112"/>
      <c r="DYF208" s="112"/>
      <c r="DYG208" s="112"/>
      <c r="DYH208" s="112"/>
      <c r="DYI208" s="112"/>
      <c r="DYJ208" s="112"/>
      <c r="DYK208" s="112"/>
      <c r="DYL208" s="112"/>
      <c r="DYM208" s="112"/>
      <c r="DYN208" s="112"/>
      <c r="DYO208" s="112"/>
      <c r="DYP208" s="112"/>
      <c r="DYQ208" s="112"/>
      <c r="DYR208" s="112"/>
      <c r="DYS208" s="112"/>
      <c r="DYT208" s="112"/>
      <c r="DYU208" s="112"/>
      <c r="DYV208" s="112"/>
      <c r="DYW208" s="112"/>
      <c r="DYX208" s="112"/>
      <c r="DYY208" s="112"/>
      <c r="DYZ208" s="112"/>
      <c r="DZA208" s="112"/>
      <c r="DZB208" s="112"/>
      <c r="DZC208" s="112"/>
      <c r="DZD208" s="112"/>
      <c r="DZE208" s="112"/>
      <c r="DZF208" s="112"/>
      <c r="DZG208" s="112"/>
      <c r="DZH208" s="112"/>
      <c r="DZI208" s="112"/>
      <c r="DZJ208" s="112"/>
      <c r="DZK208" s="112"/>
      <c r="DZL208" s="112"/>
      <c r="DZM208" s="112"/>
      <c r="DZN208" s="112"/>
      <c r="DZO208" s="112"/>
      <c r="DZP208" s="112"/>
      <c r="DZQ208" s="112"/>
      <c r="DZR208" s="112"/>
      <c r="DZS208" s="112"/>
      <c r="DZT208" s="112"/>
      <c r="DZU208" s="112"/>
      <c r="DZV208" s="112"/>
      <c r="DZW208" s="112"/>
      <c r="DZX208" s="112"/>
      <c r="DZY208" s="112"/>
      <c r="DZZ208" s="112"/>
      <c r="EAA208" s="112"/>
      <c r="EAB208" s="112"/>
      <c r="EAC208" s="112"/>
      <c r="EAD208" s="112"/>
      <c r="EAE208" s="112"/>
      <c r="EAF208" s="112"/>
      <c r="EAG208" s="112"/>
      <c r="EAH208" s="112"/>
      <c r="EAI208" s="112"/>
      <c r="EAJ208" s="112"/>
      <c r="EAK208" s="112"/>
      <c r="EAL208" s="112"/>
      <c r="EAM208" s="112"/>
      <c r="EAN208" s="112"/>
      <c r="EAO208" s="112"/>
      <c r="EAP208" s="112"/>
      <c r="EAQ208" s="112"/>
      <c r="EAR208" s="112"/>
      <c r="EAS208" s="112"/>
      <c r="EAT208" s="112"/>
      <c r="EAU208" s="112"/>
      <c r="EAV208" s="112"/>
      <c r="EAW208" s="112"/>
      <c r="EAX208" s="112"/>
      <c r="EAY208" s="112"/>
      <c r="EAZ208" s="112"/>
      <c r="EBA208" s="112"/>
      <c r="EBB208" s="112"/>
      <c r="EBC208" s="112"/>
      <c r="EBD208" s="112"/>
      <c r="EBE208" s="112"/>
      <c r="EBF208" s="112"/>
      <c r="EBG208" s="112"/>
      <c r="EBH208" s="112"/>
      <c r="EBI208" s="112"/>
      <c r="EBJ208" s="112"/>
      <c r="EBK208" s="112"/>
      <c r="EBL208" s="112"/>
      <c r="EBM208" s="112"/>
      <c r="EBN208" s="112"/>
      <c r="EBO208" s="112"/>
      <c r="EBP208" s="112"/>
      <c r="EBQ208" s="112"/>
      <c r="EBR208" s="112"/>
      <c r="EBS208" s="112"/>
      <c r="EBT208" s="112"/>
      <c r="EBU208" s="112"/>
      <c r="EBV208" s="112"/>
      <c r="EBW208" s="112"/>
      <c r="EBX208" s="112"/>
      <c r="EBY208" s="112"/>
      <c r="EBZ208" s="112"/>
      <c r="ECA208" s="112"/>
      <c r="ECB208" s="112"/>
      <c r="ECC208" s="112"/>
      <c r="ECD208" s="112"/>
      <c r="ECE208" s="112"/>
      <c r="ECF208" s="112"/>
      <c r="ECG208" s="112"/>
      <c r="ECH208" s="112"/>
      <c r="ECI208" s="112"/>
      <c r="ECJ208" s="112"/>
      <c r="ECK208" s="112"/>
      <c r="ECL208" s="112"/>
      <c r="ECM208" s="112"/>
      <c r="ECN208" s="112"/>
      <c r="ECO208" s="112"/>
      <c r="ECP208" s="112"/>
      <c r="ECQ208" s="112"/>
      <c r="ECR208" s="112"/>
      <c r="ECS208" s="112"/>
      <c r="ECT208" s="112"/>
      <c r="ECU208" s="112"/>
      <c r="ECV208" s="112"/>
      <c r="ECW208" s="112"/>
      <c r="ECX208" s="112"/>
      <c r="ECY208" s="112"/>
      <c r="ECZ208" s="112"/>
      <c r="EDA208" s="112"/>
      <c r="EDB208" s="112"/>
      <c r="EDC208" s="112"/>
      <c r="EDD208" s="112"/>
      <c r="EDE208" s="112"/>
      <c r="EDF208" s="112"/>
      <c r="EDG208" s="112"/>
      <c r="EDH208" s="112"/>
      <c r="EDI208" s="112"/>
      <c r="EDJ208" s="112"/>
      <c r="EDK208" s="112"/>
      <c r="EDL208" s="112"/>
      <c r="EDM208" s="112"/>
      <c r="EDN208" s="112"/>
      <c r="EDO208" s="112"/>
      <c r="EDP208" s="112"/>
      <c r="EDQ208" s="112"/>
      <c r="EDR208" s="112"/>
      <c r="EDS208" s="112"/>
      <c r="EDT208" s="112"/>
      <c r="EDU208" s="112"/>
      <c r="EDV208" s="112"/>
      <c r="EDW208" s="112"/>
      <c r="EDX208" s="112"/>
      <c r="EDY208" s="112"/>
      <c r="EDZ208" s="112"/>
      <c r="EEA208" s="112"/>
      <c r="EEB208" s="112"/>
      <c r="EEC208" s="112"/>
      <c r="EED208" s="112"/>
      <c r="EEE208" s="112"/>
      <c r="EEF208" s="112"/>
      <c r="EEG208" s="112"/>
      <c r="EEH208" s="112"/>
      <c r="EEI208" s="112"/>
      <c r="EEJ208" s="112"/>
      <c r="EEK208" s="112"/>
      <c r="EEL208" s="112"/>
      <c r="EEM208" s="112"/>
      <c r="EEN208" s="112"/>
      <c r="EEO208" s="112"/>
      <c r="EEP208" s="112"/>
      <c r="EEQ208" s="112"/>
      <c r="EER208" s="112"/>
      <c r="EES208" s="112"/>
      <c r="EET208" s="112"/>
      <c r="EEU208" s="112"/>
      <c r="EEV208" s="112"/>
      <c r="EEW208" s="112"/>
      <c r="EEX208" s="112"/>
      <c r="EEY208" s="112"/>
      <c r="EEZ208" s="112"/>
      <c r="EFA208" s="112"/>
      <c r="EFB208" s="112"/>
      <c r="EFC208" s="112"/>
      <c r="EFD208" s="112"/>
      <c r="EFE208" s="112"/>
      <c r="EFF208" s="112"/>
      <c r="EFG208" s="112"/>
      <c r="EFH208" s="112"/>
      <c r="EFI208" s="112"/>
      <c r="EFJ208" s="112"/>
      <c r="EFK208" s="112"/>
      <c r="EFL208" s="112"/>
      <c r="EFM208" s="112"/>
      <c r="EFN208" s="112"/>
      <c r="EFO208" s="112"/>
      <c r="EFP208" s="112"/>
      <c r="EFQ208" s="112"/>
      <c r="EFR208" s="112"/>
      <c r="EFS208" s="112"/>
      <c r="EFT208" s="112"/>
      <c r="EFU208" s="112"/>
      <c r="EFV208" s="112"/>
      <c r="EFW208" s="112"/>
      <c r="EFX208" s="112"/>
      <c r="EFY208" s="112"/>
      <c r="EFZ208" s="112"/>
      <c r="EGA208" s="112"/>
      <c r="EGB208" s="112"/>
      <c r="EGC208" s="112"/>
      <c r="EGD208" s="112"/>
      <c r="EGE208" s="112"/>
      <c r="EGF208" s="112"/>
      <c r="EGG208" s="112"/>
      <c r="EGH208" s="112"/>
      <c r="EGI208" s="112"/>
      <c r="EGJ208" s="112"/>
      <c r="EGK208" s="112"/>
      <c r="EGL208" s="112"/>
      <c r="EGM208" s="112"/>
      <c r="EGN208" s="112"/>
      <c r="EGO208" s="112"/>
      <c r="EGP208" s="112"/>
      <c r="EGQ208" s="112"/>
      <c r="EGR208" s="112"/>
      <c r="EGS208" s="112"/>
      <c r="EGT208" s="112"/>
      <c r="EGU208" s="112"/>
      <c r="EGV208" s="112"/>
      <c r="EGW208" s="112"/>
      <c r="EGX208" s="112"/>
      <c r="EGY208" s="112"/>
      <c r="EGZ208" s="112"/>
      <c r="EHA208" s="112"/>
      <c r="EHB208" s="112"/>
      <c r="EHC208" s="112"/>
      <c r="EHD208" s="112"/>
      <c r="EHE208" s="112"/>
      <c r="EHF208" s="112"/>
      <c r="EHG208" s="112"/>
      <c r="EHH208" s="112"/>
      <c r="EHI208" s="112"/>
      <c r="EHJ208" s="112"/>
      <c r="EHK208" s="112"/>
      <c r="EHL208" s="112"/>
      <c r="EHM208" s="112"/>
      <c r="EHN208" s="112"/>
      <c r="EHO208" s="112"/>
      <c r="EHP208" s="112"/>
      <c r="EHQ208" s="112"/>
      <c r="EHR208" s="112"/>
      <c r="EHS208" s="112"/>
      <c r="EHT208" s="112"/>
      <c r="EHU208" s="112"/>
      <c r="EHV208" s="112"/>
      <c r="EHW208" s="112"/>
      <c r="EHX208" s="112"/>
      <c r="EHY208" s="112"/>
      <c r="EHZ208" s="112"/>
      <c r="EIA208" s="112"/>
      <c r="EIB208" s="112"/>
      <c r="EIC208" s="112"/>
      <c r="EID208" s="112"/>
      <c r="EIE208" s="112"/>
      <c r="EIF208" s="112"/>
      <c r="EIG208" s="112"/>
      <c r="EIH208" s="112"/>
      <c r="EII208" s="112"/>
      <c r="EIJ208" s="112"/>
      <c r="EIK208" s="112"/>
      <c r="EIL208" s="112"/>
      <c r="EIM208" s="112"/>
      <c r="EIN208" s="112"/>
      <c r="EIO208" s="112"/>
      <c r="EIP208" s="112"/>
      <c r="EIQ208" s="112"/>
      <c r="EIR208" s="112"/>
      <c r="EIS208" s="112"/>
      <c r="EIT208" s="112"/>
      <c r="EIU208" s="112"/>
      <c r="EIV208" s="112"/>
      <c r="EIW208" s="112"/>
      <c r="EIX208" s="112"/>
      <c r="EIY208" s="112"/>
      <c r="EIZ208" s="112"/>
      <c r="EJA208" s="112"/>
      <c r="EJB208" s="112"/>
      <c r="EJC208" s="112"/>
      <c r="EJD208" s="112"/>
      <c r="EJE208" s="112"/>
      <c r="EJF208" s="112"/>
      <c r="EJG208" s="112"/>
      <c r="EJH208" s="112"/>
      <c r="EJI208" s="112"/>
      <c r="EJJ208" s="112"/>
      <c r="EJK208" s="112"/>
      <c r="EJL208" s="112"/>
      <c r="EJM208" s="112"/>
      <c r="EJN208" s="112"/>
      <c r="EJO208" s="112"/>
      <c r="EJP208" s="112"/>
      <c r="EJQ208" s="112"/>
      <c r="EJR208" s="112"/>
      <c r="EJS208" s="112"/>
      <c r="EJT208" s="112"/>
      <c r="EJU208" s="112"/>
      <c r="EJV208" s="112"/>
      <c r="EJW208" s="112"/>
      <c r="EJX208" s="112"/>
      <c r="EJY208" s="112"/>
      <c r="EJZ208" s="112"/>
      <c r="EKA208" s="112"/>
      <c r="EKB208" s="112"/>
      <c r="EKC208" s="112"/>
      <c r="EKD208" s="112"/>
      <c r="EKE208" s="112"/>
      <c r="EKF208" s="112"/>
      <c r="EKG208" s="112"/>
      <c r="EKH208" s="112"/>
      <c r="EKI208" s="112"/>
      <c r="EKJ208" s="112"/>
      <c r="EKK208" s="112"/>
      <c r="EKL208" s="112"/>
      <c r="EKM208" s="112"/>
      <c r="EKN208" s="112"/>
      <c r="EKO208" s="112"/>
      <c r="EKP208" s="112"/>
      <c r="EKQ208" s="112"/>
      <c r="EKR208" s="112"/>
      <c r="EKS208" s="112"/>
      <c r="EKT208" s="112"/>
      <c r="EKU208" s="112"/>
      <c r="EKV208" s="112"/>
      <c r="EKW208" s="112"/>
      <c r="EKX208" s="112"/>
      <c r="EKY208" s="112"/>
      <c r="EKZ208" s="112"/>
      <c r="ELA208" s="112"/>
      <c r="ELB208" s="112"/>
      <c r="ELC208" s="112"/>
      <c r="ELD208" s="112"/>
      <c r="ELE208" s="112"/>
      <c r="ELF208" s="112"/>
      <c r="ELG208" s="112"/>
      <c r="ELH208" s="112"/>
      <c r="ELI208" s="112"/>
      <c r="ELJ208" s="112"/>
      <c r="ELK208" s="112"/>
      <c r="ELL208" s="112"/>
      <c r="ELM208" s="112"/>
      <c r="ELN208" s="112"/>
      <c r="ELO208" s="112"/>
      <c r="ELP208" s="112"/>
      <c r="ELQ208" s="112"/>
      <c r="ELR208" s="112"/>
      <c r="ELS208" s="112"/>
      <c r="ELT208" s="112"/>
      <c r="ELU208" s="112"/>
      <c r="ELV208" s="112"/>
      <c r="ELW208" s="112"/>
      <c r="ELX208" s="112"/>
      <c r="ELY208" s="112"/>
      <c r="ELZ208" s="112"/>
      <c r="EMA208" s="112"/>
      <c r="EMB208" s="112"/>
      <c r="EMC208" s="112"/>
      <c r="EMD208" s="112"/>
      <c r="EME208" s="112"/>
      <c r="EMF208" s="112"/>
      <c r="EMG208" s="112"/>
      <c r="EMH208" s="112"/>
      <c r="EMI208" s="112"/>
      <c r="EMJ208" s="112"/>
      <c r="EMK208" s="112"/>
      <c r="EML208" s="112"/>
      <c r="EMM208" s="112"/>
      <c r="EMN208" s="112"/>
      <c r="EMO208" s="112"/>
      <c r="EMP208" s="112"/>
      <c r="EMQ208" s="112"/>
      <c r="EMR208" s="112"/>
      <c r="EMS208" s="112"/>
      <c r="EMT208" s="112"/>
      <c r="EMU208" s="112"/>
      <c r="EMV208" s="112"/>
      <c r="EMW208" s="112"/>
      <c r="EMX208" s="112"/>
      <c r="EMY208" s="112"/>
      <c r="EMZ208" s="112"/>
      <c r="ENA208" s="112"/>
      <c r="ENB208" s="112"/>
      <c r="ENC208" s="112"/>
      <c r="END208" s="112"/>
      <c r="ENE208" s="112"/>
      <c r="ENF208" s="112"/>
      <c r="ENG208" s="112"/>
      <c r="ENH208" s="112"/>
      <c r="ENI208" s="112"/>
      <c r="ENJ208" s="112"/>
      <c r="ENK208" s="112"/>
      <c r="ENL208" s="112"/>
      <c r="ENM208" s="112"/>
      <c r="ENN208" s="112"/>
      <c r="ENO208" s="112"/>
      <c r="ENP208" s="112"/>
      <c r="ENQ208" s="112"/>
      <c r="ENR208" s="112"/>
      <c r="ENS208" s="112"/>
      <c r="ENT208" s="112"/>
      <c r="ENU208" s="112"/>
      <c r="ENV208" s="112"/>
      <c r="ENW208" s="112"/>
      <c r="ENX208" s="112"/>
      <c r="ENY208" s="112"/>
      <c r="ENZ208" s="112"/>
      <c r="EOA208" s="112"/>
      <c r="EOB208" s="112"/>
      <c r="EOC208" s="112"/>
      <c r="EOD208" s="112"/>
      <c r="EOE208" s="112"/>
      <c r="EOF208" s="112"/>
      <c r="EOG208" s="112"/>
      <c r="EOH208" s="112"/>
      <c r="EOI208" s="112"/>
      <c r="EOJ208" s="112"/>
      <c r="EOK208" s="112"/>
      <c r="EOL208" s="112"/>
      <c r="EOM208" s="112"/>
      <c r="EON208" s="112"/>
      <c r="EOO208" s="112"/>
      <c r="EOP208" s="112"/>
      <c r="EOQ208" s="112"/>
      <c r="EOR208" s="112"/>
      <c r="EOS208" s="112"/>
      <c r="EOT208" s="112"/>
      <c r="EOU208" s="112"/>
      <c r="EOV208" s="112"/>
      <c r="EOW208" s="112"/>
      <c r="EOX208" s="112"/>
      <c r="EOY208" s="112"/>
      <c r="EOZ208" s="112"/>
      <c r="EPA208" s="112"/>
      <c r="EPB208" s="112"/>
      <c r="EPC208" s="112"/>
      <c r="EPD208" s="112"/>
      <c r="EPE208" s="112"/>
      <c r="EPF208" s="112"/>
      <c r="EPG208" s="112"/>
      <c r="EPH208" s="112"/>
      <c r="EPI208" s="112"/>
      <c r="EPJ208" s="112"/>
      <c r="EPK208" s="112"/>
      <c r="EPL208" s="112"/>
      <c r="EPM208" s="112"/>
      <c r="EPN208" s="112"/>
      <c r="EPO208" s="112"/>
      <c r="EPP208" s="112"/>
      <c r="EPQ208" s="112"/>
      <c r="EPR208" s="112"/>
      <c r="EPS208" s="112"/>
      <c r="EPT208" s="112"/>
      <c r="EPU208" s="112"/>
      <c r="EPV208" s="112"/>
      <c r="EPW208" s="112"/>
      <c r="EPX208" s="112"/>
      <c r="EPY208" s="112"/>
      <c r="EPZ208" s="112"/>
      <c r="EQA208" s="112"/>
      <c r="EQB208" s="112"/>
      <c r="EQC208" s="112"/>
      <c r="EQD208" s="112"/>
      <c r="EQE208" s="112"/>
      <c r="EQF208" s="112"/>
      <c r="EQG208" s="112"/>
      <c r="EQH208" s="112"/>
      <c r="EQI208" s="112"/>
      <c r="EQJ208" s="112"/>
      <c r="EQK208" s="112"/>
      <c r="EQL208" s="112"/>
      <c r="EQM208" s="112"/>
      <c r="EQN208" s="112"/>
      <c r="EQO208" s="112"/>
      <c r="EQP208" s="112"/>
      <c r="EQQ208" s="112"/>
      <c r="EQR208" s="112"/>
      <c r="EQS208" s="112"/>
      <c r="EQT208" s="112"/>
      <c r="EQU208" s="112"/>
      <c r="EQV208" s="112"/>
      <c r="EQW208" s="112"/>
      <c r="EQX208" s="112"/>
      <c r="EQY208" s="112"/>
      <c r="EQZ208" s="112"/>
      <c r="ERA208" s="112"/>
      <c r="ERB208" s="112"/>
      <c r="ERC208" s="112"/>
      <c r="ERD208" s="112"/>
      <c r="ERE208" s="112"/>
      <c r="ERF208" s="112"/>
      <c r="ERG208" s="112"/>
      <c r="ERH208" s="112"/>
      <c r="ERI208" s="112"/>
      <c r="ERJ208" s="112"/>
      <c r="ERK208" s="112"/>
      <c r="ERL208" s="112"/>
      <c r="ERM208" s="112"/>
      <c r="ERN208" s="112"/>
      <c r="ERO208" s="112"/>
      <c r="ERP208" s="112"/>
      <c r="ERQ208" s="112"/>
      <c r="ERR208" s="112"/>
      <c r="ERS208" s="112"/>
      <c r="ERT208" s="112"/>
      <c r="ERU208" s="112"/>
      <c r="ERV208" s="112"/>
      <c r="ERW208" s="112"/>
      <c r="ERX208" s="112"/>
      <c r="ERY208" s="112"/>
      <c r="ERZ208" s="112"/>
      <c r="ESA208" s="112"/>
      <c r="ESB208" s="112"/>
      <c r="ESC208" s="112"/>
      <c r="ESD208" s="112"/>
      <c r="ESE208" s="112"/>
      <c r="ESF208" s="112"/>
      <c r="ESG208" s="112"/>
      <c r="ESH208" s="112"/>
      <c r="ESI208" s="112"/>
      <c r="ESJ208" s="112"/>
      <c r="ESK208" s="112"/>
      <c r="ESL208" s="112"/>
      <c r="ESM208" s="112"/>
      <c r="ESN208" s="112"/>
      <c r="ESO208" s="112"/>
      <c r="ESP208" s="112"/>
      <c r="ESQ208" s="112"/>
      <c r="ESR208" s="112"/>
      <c r="ESS208" s="112"/>
      <c r="EST208" s="112"/>
      <c r="ESU208" s="112"/>
      <c r="ESV208" s="112"/>
      <c r="ESW208" s="112"/>
      <c r="ESX208" s="112"/>
      <c r="ESY208" s="112"/>
      <c r="ESZ208" s="112"/>
      <c r="ETA208" s="112"/>
      <c r="ETB208" s="112"/>
      <c r="ETC208" s="112"/>
      <c r="ETD208" s="112"/>
      <c r="ETE208" s="112"/>
      <c r="ETF208" s="112"/>
      <c r="ETG208" s="112"/>
      <c r="ETH208" s="112"/>
      <c r="ETI208" s="112"/>
      <c r="ETJ208" s="112"/>
      <c r="ETK208" s="112"/>
      <c r="ETL208" s="112"/>
      <c r="ETM208" s="112"/>
      <c r="ETN208" s="112"/>
      <c r="ETO208" s="112"/>
      <c r="ETP208" s="112"/>
      <c r="ETQ208" s="112"/>
      <c r="ETR208" s="112"/>
      <c r="ETS208" s="112"/>
      <c r="ETT208" s="112"/>
      <c r="ETU208" s="112"/>
      <c r="ETV208" s="112"/>
      <c r="ETW208" s="112"/>
      <c r="ETX208" s="112"/>
      <c r="ETY208" s="112"/>
      <c r="ETZ208" s="112"/>
      <c r="EUA208" s="112"/>
      <c r="EUB208" s="112"/>
      <c r="EUC208" s="112"/>
      <c r="EUD208" s="112"/>
      <c r="EUE208" s="112"/>
      <c r="EUF208" s="112"/>
      <c r="EUG208" s="112"/>
      <c r="EUH208" s="112"/>
      <c r="EUI208" s="112"/>
      <c r="EUJ208" s="112"/>
      <c r="EUK208" s="112"/>
      <c r="EUL208" s="112"/>
      <c r="EUM208" s="112"/>
      <c r="EUN208" s="112"/>
      <c r="EUO208" s="112"/>
      <c r="EUP208" s="112"/>
      <c r="EUQ208" s="112"/>
      <c r="EUR208" s="112"/>
      <c r="EUS208" s="112"/>
      <c r="EUT208" s="112"/>
      <c r="EUU208" s="112"/>
      <c r="EUV208" s="112"/>
      <c r="EUW208" s="112"/>
      <c r="EUX208" s="112"/>
      <c r="EUY208" s="112"/>
      <c r="EUZ208" s="112"/>
      <c r="EVA208" s="112"/>
      <c r="EVB208" s="112"/>
      <c r="EVC208" s="112"/>
      <c r="EVD208" s="112"/>
      <c r="EVE208" s="112"/>
      <c r="EVF208" s="112"/>
      <c r="EVG208" s="112"/>
      <c r="EVH208" s="112"/>
      <c r="EVI208" s="112"/>
      <c r="EVJ208" s="112"/>
      <c r="EVK208" s="112"/>
      <c r="EVL208" s="112"/>
      <c r="EVM208" s="112"/>
      <c r="EVN208" s="112"/>
      <c r="EVO208" s="112"/>
      <c r="EVP208" s="112"/>
      <c r="EVQ208" s="112"/>
      <c r="EVR208" s="112"/>
      <c r="EVS208" s="112"/>
      <c r="EVT208" s="112"/>
      <c r="EVU208" s="112"/>
      <c r="EVV208" s="112"/>
      <c r="EVW208" s="112"/>
      <c r="EVX208" s="112"/>
      <c r="EVY208" s="112"/>
      <c r="EVZ208" s="112"/>
      <c r="EWA208" s="112"/>
      <c r="EWB208" s="112"/>
      <c r="EWC208" s="112"/>
      <c r="EWD208" s="112"/>
      <c r="EWE208" s="112"/>
      <c r="EWF208" s="112"/>
      <c r="EWG208" s="112"/>
      <c r="EWH208" s="112"/>
      <c r="EWI208" s="112"/>
      <c r="EWJ208" s="112"/>
      <c r="EWK208" s="112"/>
      <c r="EWL208" s="112"/>
      <c r="EWM208" s="112"/>
      <c r="EWN208" s="112"/>
      <c r="EWO208" s="112"/>
      <c r="EWP208" s="112"/>
      <c r="EWQ208" s="112"/>
      <c r="EWR208" s="112"/>
      <c r="EWS208" s="112"/>
      <c r="EWT208" s="112"/>
      <c r="EWU208" s="112"/>
      <c r="EWV208" s="112"/>
      <c r="EWW208" s="112"/>
      <c r="EWX208" s="112"/>
      <c r="EWY208" s="112"/>
      <c r="EWZ208" s="112"/>
      <c r="EXA208" s="112"/>
      <c r="EXB208" s="112"/>
      <c r="EXC208" s="112"/>
      <c r="EXD208" s="112"/>
      <c r="EXE208" s="112"/>
      <c r="EXF208" s="112"/>
      <c r="EXG208" s="112"/>
      <c r="EXH208" s="112"/>
      <c r="EXI208" s="112"/>
      <c r="EXJ208" s="112"/>
      <c r="EXK208" s="112"/>
      <c r="EXL208" s="112"/>
      <c r="EXM208" s="112"/>
      <c r="EXN208" s="112"/>
      <c r="EXO208" s="112"/>
      <c r="EXP208" s="112"/>
      <c r="EXQ208" s="112"/>
      <c r="EXR208" s="112"/>
      <c r="EXS208" s="112"/>
      <c r="EXT208" s="112"/>
      <c r="EXU208" s="112"/>
      <c r="EXV208" s="112"/>
      <c r="EXW208" s="112"/>
      <c r="EXX208" s="112"/>
      <c r="EXY208" s="112"/>
      <c r="EXZ208" s="112"/>
      <c r="EYA208" s="112"/>
      <c r="EYB208" s="112"/>
      <c r="EYC208" s="112"/>
      <c r="EYD208" s="112"/>
      <c r="EYE208" s="112"/>
      <c r="EYF208" s="112"/>
      <c r="EYG208" s="112"/>
      <c r="EYH208" s="112"/>
      <c r="EYI208" s="112"/>
      <c r="EYJ208" s="112"/>
      <c r="EYK208" s="112"/>
      <c r="EYL208" s="112"/>
      <c r="EYM208" s="112"/>
      <c r="EYN208" s="112"/>
      <c r="EYO208" s="112"/>
      <c r="EYP208" s="112"/>
      <c r="EYQ208" s="112"/>
      <c r="EYR208" s="112"/>
      <c r="EYS208" s="112"/>
      <c r="EYT208" s="112"/>
      <c r="EYU208" s="112"/>
      <c r="EYV208" s="112"/>
      <c r="EYW208" s="112"/>
      <c r="EYX208" s="112"/>
      <c r="EYY208" s="112"/>
      <c r="EYZ208" s="112"/>
      <c r="EZA208" s="112"/>
      <c r="EZB208" s="112"/>
      <c r="EZC208" s="112"/>
      <c r="EZD208" s="112"/>
      <c r="EZE208" s="112"/>
      <c r="EZF208" s="112"/>
      <c r="EZG208" s="112"/>
      <c r="EZH208" s="112"/>
      <c r="EZI208" s="112"/>
      <c r="EZJ208" s="112"/>
      <c r="EZK208" s="112"/>
      <c r="EZL208" s="112"/>
      <c r="EZM208" s="112"/>
      <c r="EZN208" s="112"/>
      <c r="EZO208" s="112"/>
      <c r="EZP208" s="112"/>
      <c r="EZQ208" s="112"/>
      <c r="EZR208" s="112"/>
      <c r="EZS208" s="112"/>
      <c r="EZT208" s="112"/>
      <c r="EZU208" s="112"/>
      <c r="EZV208" s="112"/>
      <c r="EZW208" s="112"/>
      <c r="EZX208" s="112"/>
      <c r="EZY208" s="112"/>
      <c r="EZZ208" s="112"/>
      <c r="FAA208" s="112"/>
      <c r="FAB208" s="112"/>
      <c r="FAC208" s="112"/>
      <c r="FAD208" s="112"/>
      <c r="FAE208" s="112"/>
      <c r="FAF208" s="112"/>
      <c r="FAG208" s="112"/>
      <c r="FAH208" s="112"/>
      <c r="FAI208" s="112"/>
      <c r="FAJ208" s="112"/>
      <c r="FAK208" s="112"/>
      <c r="FAL208" s="112"/>
      <c r="FAM208" s="112"/>
      <c r="FAN208" s="112"/>
      <c r="FAO208" s="112"/>
      <c r="FAP208" s="112"/>
      <c r="FAQ208" s="112"/>
      <c r="FAR208" s="112"/>
      <c r="FAS208" s="112"/>
      <c r="FAT208" s="112"/>
      <c r="FAU208" s="112"/>
      <c r="FAV208" s="112"/>
      <c r="FAW208" s="112"/>
      <c r="FAX208" s="112"/>
      <c r="FAY208" s="112"/>
      <c r="FAZ208" s="112"/>
      <c r="FBA208" s="112"/>
      <c r="FBB208" s="112"/>
      <c r="FBC208" s="112"/>
      <c r="FBD208" s="112"/>
      <c r="FBE208" s="112"/>
      <c r="FBF208" s="112"/>
      <c r="FBG208" s="112"/>
      <c r="FBH208" s="112"/>
      <c r="FBI208" s="112"/>
      <c r="FBJ208" s="112"/>
      <c r="FBK208" s="112"/>
      <c r="FBL208" s="112"/>
      <c r="FBM208" s="112"/>
      <c r="FBN208" s="112"/>
      <c r="FBO208" s="112"/>
      <c r="FBP208" s="112"/>
      <c r="FBQ208" s="112"/>
      <c r="FBR208" s="112"/>
      <c r="FBS208" s="112"/>
      <c r="FBT208" s="112"/>
      <c r="FBU208" s="112"/>
      <c r="FBV208" s="112"/>
      <c r="FBW208" s="112"/>
      <c r="FBX208" s="112"/>
      <c r="FBY208" s="112"/>
      <c r="FBZ208" s="112"/>
      <c r="FCA208" s="112"/>
      <c r="FCB208" s="112"/>
      <c r="FCC208" s="112"/>
      <c r="FCD208" s="112"/>
      <c r="FCE208" s="112"/>
      <c r="FCF208" s="112"/>
      <c r="FCG208" s="112"/>
      <c r="FCH208" s="112"/>
      <c r="FCI208" s="112"/>
      <c r="FCJ208" s="112"/>
      <c r="FCK208" s="112"/>
      <c r="FCL208" s="112"/>
      <c r="FCM208" s="112"/>
      <c r="FCN208" s="112"/>
      <c r="FCO208" s="112"/>
      <c r="FCP208" s="112"/>
      <c r="FCQ208" s="112"/>
      <c r="FCR208" s="112"/>
      <c r="FCS208" s="112"/>
      <c r="FCT208" s="112"/>
      <c r="FCU208" s="112"/>
      <c r="FCV208" s="112"/>
      <c r="FCW208" s="112"/>
      <c r="FCX208" s="112"/>
      <c r="FCY208" s="112"/>
      <c r="FCZ208" s="112"/>
      <c r="FDA208" s="112"/>
      <c r="FDB208" s="112"/>
      <c r="FDC208" s="112"/>
      <c r="FDD208" s="112"/>
      <c r="FDE208" s="112"/>
      <c r="FDF208" s="112"/>
      <c r="FDG208" s="112"/>
      <c r="FDH208" s="112"/>
      <c r="FDI208" s="112"/>
      <c r="FDJ208" s="112"/>
      <c r="FDK208" s="112"/>
      <c r="FDL208" s="112"/>
      <c r="FDM208" s="112"/>
      <c r="FDN208" s="112"/>
      <c r="FDO208" s="112"/>
      <c r="FDP208" s="112"/>
      <c r="FDQ208" s="112"/>
      <c r="FDR208" s="112"/>
      <c r="FDS208" s="112"/>
      <c r="FDT208" s="112"/>
      <c r="FDU208" s="112"/>
      <c r="FDV208" s="112"/>
      <c r="FDW208" s="112"/>
      <c r="FDX208" s="112"/>
      <c r="FDY208" s="112"/>
      <c r="FDZ208" s="112"/>
      <c r="FEA208" s="112"/>
      <c r="FEB208" s="112"/>
      <c r="FEC208" s="112"/>
      <c r="FED208" s="112"/>
      <c r="FEE208" s="112"/>
      <c r="FEF208" s="112"/>
      <c r="FEG208" s="112"/>
      <c r="FEH208" s="112"/>
      <c r="FEI208" s="112"/>
      <c r="FEJ208" s="112"/>
      <c r="FEK208" s="112"/>
      <c r="FEL208" s="112"/>
      <c r="FEM208" s="112"/>
      <c r="FEN208" s="112"/>
      <c r="FEO208" s="112"/>
      <c r="FEP208" s="112"/>
      <c r="FEQ208" s="112"/>
      <c r="FER208" s="112"/>
      <c r="FES208" s="112"/>
      <c r="FET208" s="112"/>
      <c r="FEU208" s="112"/>
      <c r="FEV208" s="112"/>
      <c r="FEW208" s="112"/>
      <c r="FEX208" s="112"/>
      <c r="FEY208" s="112"/>
      <c r="FEZ208" s="112"/>
      <c r="FFA208" s="112"/>
      <c r="FFB208" s="112"/>
      <c r="FFC208" s="112"/>
      <c r="FFD208" s="112"/>
      <c r="FFE208" s="112"/>
      <c r="FFF208" s="112"/>
      <c r="FFG208" s="112"/>
      <c r="FFH208" s="112"/>
      <c r="FFI208" s="112"/>
      <c r="FFJ208" s="112"/>
      <c r="FFK208" s="112"/>
      <c r="FFL208" s="112"/>
      <c r="FFM208" s="112"/>
      <c r="FFN208" s="112"/>
      <c r="FFO208" s="112"/>
      <c r="FFP208" s="112"/>
      <c r="FFQ208" s="112"/>
      <c r="FFR208" s="112"/>
      <c r="FFS208" s="112"/>
      <c r="FFT208" s="112"/>
      <c r="FFU208" s="112"/>
      <c r="FFV208" s="112"/>
      <c r="FFW208" s="112"/>
      <c r="FFX208" s="112"/>
      <c r="FFY208" s="112"/>
      <c r="FFZ208" s="112"/>
      <c r="FGA208" s="112"/>
      <c r="FGB208" s="112"/>
      <c r="FGC208" s="112"/>
      <c r="FGD208" s="112"/>
      <c r="FGE208" s="112"/>
      <c r="FGF208" s="112"/>
      <c r="FGG208" s="112"/>
      <c r="FGH208" s="112"/>
      <c r="FGI208" s="112"/>
      <c r="FGJ208" s="112"/>
      <c r="FGK208" s="112"/>
      <c r="FGL208" s="112"/>
      <c r="FGM208" s="112"/>
      <c r="FGN208" s="112"/>
      <c r="FGO208" s="112"/>
      <c r="FGP208" s="112"/>
      <c r="FGQ208" s="112"/>
      <c r="FGR208" s="112"/>
      <c r="FGS208" s="112"/>
      <c r="FGT208" s="112"/>
      <c r="FGU208" s="112"/>
      <c r="FGV208" s="112"/>
      <c r="FGW208" s="112"/>
      <c r="FGX208" s="112"/>
      <c r="FGY208" s="112"/>
      <c r="FGZ208" s="112"/>
      <c r="FHA208" s="112"/>
      <c r="FHB208" s="112"/>
      <c r="FHC208" s="112"/>
      <c r="FHD208" s="112"/>
      <c r="FHE208" s="112"/>
      <c r="FHF208" s="112"/>
      <c r="FHG208" s="112"/>
      <c r="FHH208" s="112"/>
      <c r="FHI208" s="112"/>
      <c r="FHJ208" s="112"/>
      <c r="FHK208" s="112"/>
      <c r="FHL208" s="112"/>
      <c r="FHM208" s="112"/>
      <c r="FHN208" s="112"/>
      <c r="FHO208" s="112"/>
      <c r="FHP208" s="112"/>
      <c r="FHQ208" s="112"/>
      <c r="FHR208" s="112"/>
      <c r="FHS208" s="112"/>
      <c r="FHT208" s="112"/>
      <c r="FHU208" s="112"/>
      <c r="FHV208" s="112"/>
      <c r="FHW208" s="112"/>
      <c r="FHX208" s="112"/>
      <c r="FHY208" s="112"/>
      <c r="FHZ208" s="112"/>
      <c r="FIA208" s="112"/>
      <c r="FIB208" s="112"/>
      <c r="FIC208" s="112"/>
      <c r="FID208" s="112"/>
      <c r="FIE208" s="112"/>
      <c r="FIF208" s="112"/>
      <c r="FIG208" s="112"/>
      <c r="FIH208" s="112"/>
      <c r="FII208" s="112"/>
      <c r="FIJ208" s="112"/>
      <c r="FIK208" s="112"/>
      <c r="FIL208" s="112"/>
      <c r="FIM208" s="112"/>
      <c r="FIN208" s="112"/>
      <c r="FIO208" s="112"/>
      <c r="FIP208" s="112"/>
      <c r="FIQ208" s="112"/>
      <c r="FIR208" s="112"/>
      <c r="FIS208" s="112"/>
      <c r="FIT208" s="112"/>
      <c r="FIU208" s="112"/>
      <c r="FIV208" s="112"/>
      <c r="FIW208" s="112"/>
      <c r="FIX208" s="112"/>
      <c r="FIY208" s="112"/>
      <c r="FIZ208" s="112"/>
      <c r="FJA208" s="112"/>
      <c r="FJB208" s="112"/>
      <c r="FJC208" s="112"/>
      <c r="FJD208" s="112"/>
      <c r="FJE208" s="112"/>
      <c r="FJF208" s="112"/>
      <c r="FJG208" s="112"/>
      <c r="FJH208" s="112"/>
      <c r="FJI208" s="112"/>
      <c r="FJJ208" s="112"/>
      <c r="FJK208" s="112"/>
      <c r="FJL208" s="112"/>
      <c r="FJM208" s="112"/>
      <c r="FJN208" s="112"/>
      <c r="FJO208" s="112"/>
      <c r="FJP208" s="112"/>
      <c r="FJQ208" s="112"/>
      <c r="FJR208" s="112"/>
      <c r="FJS208" s="112"/>
      <c r="FJT208" s="112"/>
      <c r="FJU208" s="112"/>
      <c r="FJV208" s="112"/>
      <c r="FJW208" s="112"/>
      <c r="FJX208" s="112"/>
      <c r="FJY208" s="112"/>
      <c r="FJZ208" s="112"/>
      <c r="FKA208" s="112"/>
      <c r="FKB208" s="112"/>
      <c r="FKC208" s="112"/>
      <c r="FKD208" s="112"/>
      <c r="FKE208" s="112"/>
      <c r="FKF208" s="112"/>
      <c r="FKG208" s="112"/>
      <c r="FKH208" s="112"/>
      <c r="FKI208" s="112"/>
      <c r="FKJ208" s="112"/>
      <c r="FKK208" s="112"/>
      <c r="FKL208" s="112"/>
      <c r="FKM208" s="112"/>
      <c r="FKN208" s="112"/>
      <c r="FKO208" s="112"/>
      <c r="FKP208" s="112"/>
      <c r="FKQ208" s="112"/>
      <c r="FKR208" s="112"/>
      <c r="FKS208" s="112"/>
      <c r="FKT208" s="112"/>
      <c r="FKU208" s="112"/>
      <c r="FKV208" s="112"/>
      <c r="FKW208" s="112"/>
      <c r="FKX208" s="112"/>
      <c r="FKY208" s="112"/>
      <c r="FKZ208" s="112"/>
      <c r="FLA208" s="112"/>
      <c r="FLB208" s="112"/>
      <c r="FLC208" s="112"/>
      <c r="FLD208" s="112"/>
      <c r="FLE208" s="112"/>
      <c r="FLF208" s="112"/>
      <c r="FLG208" s="112"/>
      <c r="FLH208" s="112"/>
      <c r="FLI208" s="112"/>
      <c r="FLJ208" s="112"/>
      <c r="FLK208" s="112"/>
      <c r="FLL208" s="112"/>
      <c r="FLM208" s="112"/>
      <c r="FLN208" s="112"/>
      <c r="FLO208" s="112"/>
      <c r="FLP208" s="112"/>
      <c r="FLQ208" s="112"/>
      <c r="FLR208" s="112"/>
      <c r="FLS208" s="112"/>
      <c r="FLT208" s="112"/>
      <c r="FLU208" s="112"/>
      <c r="FLV208" s="112"/>
      <c r="FLW208" s="112"/>
      <c r="FLX208" s="112"/>
      <c r="FLY208" s="112"/>
      <c r="FLZ208" s="112"/>
      <c r="FMA208" s="112"/>
      <c r="FMB208" s="112"/>
      <c r="FMC208" s="112"/>
      <c r="FMD208" s="112"/>
      <c r="FME208" s="112"/>
      <c r="FMF208" s="112"/>
      <c r="FMG208" s="112"/>
      <c r="FMH208" s="112"/>
      <c r="FMI208" s="112"/>
      <c r="FMJ208" s="112"/>
      <c r="FMK208" s="112"/>
      <c r="FML208" s="112"/>
      <c r="FMM208" s="112"/>
      <c r="FMN208" s="112"/>
      <c r="FMO208" s="112"/>
      <c r="FMP208" s="112"/>
      <c r="FMQ208" s="112"/>
      <c r="FMR208" s="112"/>
      <c r="FMS208" s="112"/>
      <c r="FMT208" s="112"/>
      <c r="FMU208" s="112"/>
      <c r="FMV208" s="112"/>
      <c r="FMW208" s="112"/>
      <c r="FMX208" s="112"/>
      <c r="FMY208" s="112"/>
      <c r="FMZ208" s="112"/>
      <c r="FNA208" s="112"/>
      <c r="FNB208" s="112"/>
      <c r="FNC208" s="112"/>
      <c r="FND208" s="112"/>
      <c r="FNE208" s="112"/>
      <c r="FNF208" s="112"/>
      <c r="FNG208" s="112"/>
      <c r="FNH208" s="112"/>
      <c r="FNI208" s="112"/>
      <c r="FNJ208" s="112"/>
      <c r="FNK208" s="112"/>
      <c r="FNL208" s="112"/>
      <c r="FNM208" s="112"/>
      <c r="FNN208" s="112"/>
      <c r="FNO208" s="112"/>
      <c r="FNP208" s="112"/>
      <c r="FNQ208" s="112"/>
      <c r="FNR208" s="112"/>
      <c r="FNS208" s="112"/>
      <c r="FNT208" s="112"/>
      <c r="FNU208" s="112"/>
      <c r="FNV208" s="112"/>
      <c r="FNW208" s="112"/>
      <c r="FNX208" s="112"/>
      <c r="FNY208" s="112"/>
      <c r="FNZ208" s="112"/>
      <c r="FOA208" s="112"/>
      <c r="FOB208" s="112"/>
      <c r="FOC208" s="112"/>
      <c r="FOD208" s="112"/>
      <c r="FOE208" s="112"/>
      <c r="FOF208" s="112"/>
      <c r="FOG208" s="112"/>
      <c r="FOH208" s="112"/>
      <c r="FOI208" s="112"/>
      <c r="FOJ208" s="112"/>
      <c r="FOK208" s="112"/>
      <c r="FOL208" s="112"/>
      <c r="FOM208" s="112"/>
      <c r="FON208" s="112"/>
      <c r="FOO208" s="112"/>
      <c r="FOP208" s="112"/>
      <c r="FOQ208" s="112"/>
      <c r="FOR208" s="112"/>
      <c r="FOS208" s="112"/>
      <c r="FOT208" s="112"/>
      <c r="FOU208" s="112"/>
      <c r="FOV208" s="112"/>
      <c r="FOW208" s="112"/>
      <c r="FOX208" s="112"/>
      <c r="FOY208" s="112"/>
      <c r="FOZ208" s="112"/>
      <c r="FPA208" s="112"/>
      <c r="FPB208" s="112"/>
      <c r="FPC208" s="112"/>
      <c r="FPD208" s="112"/>
      <c r="FPE208" s="112"/>
      <c r="FPF208" s="112"/>
      <c r="FPG208" s="112"/>
      <c r="FPH208" s="112"/>
      <c r="FPI208" s="112"/>
      <c r="FPJ208" s="112"/>
      <c r="FPK208" s="112"/>
      <c r="FPL208" s="112"/>
      <c r="FPM208" s="112"/>
      <c r="FPN208" s="112"/>
      <c r="FPO208" s="112"/>
      <c r="FPP208" s="112"/>
      <c r="FPQ208" s="112"/>
      <c r="FPR208" s="112"/>
      <c r="FPS208" s="112"/>
      <c r="FPT208" s="112"/>
      <c r="FPU208" s="112"/>
      <c r="FPV208" s="112"/>
      <c r="FPW208" s="112"/>
      <c r="FPX208" s="112"/>
      <c r="FPY208" s="112"/>
      <c r="FPZ208" s="112"/>
      <c r="FQA208" s="112"/>
      <c r="FQB208" s="112"/>
      <c r="FQC208" s="112"/>
      <c r="FQD208" s="112"/>
      <c r="FQE208" s="112"/>
      <c r="FQF208" s="112"/>
      <c r="FQG208" s="112"/>
      <c r="FQH208" s="112"/>
      <c r="FQI208" s="112"/>
      <c r="FQJ208" s="112"/>
      <c r="FQK208" s="112"/>
      <c r="FQL208" s="112"/>
      <c r="FQM208" s="112"/>
      <c r="FQN208" s="112"/>
      <c r="FQO208" s="112"/>
      <c r="FQP208" s="112"/>
      <c r="FQQ208" s="112"/>
      <c r="FQR208" s="112"/>
      <c r="FQS208" s="112"/>
      <c r="FQT208" s="112"/>
      <c r="FQU208" s="112"/>
      <c r="FQV208" s="112"/>
      <c r="FQW208" s="112"/>
      <c r="FQX208" s="112"/>
      <c r="FQY208" s="112"/>
      <c r="FQZ208" s="112"/>
      <c r="FRA208" s="112"/>
      <c r="FRB208" s="112"/>
      <c r="FRC208" s="112"/>
      <c r="FRD208" s="112"/>
      <c r="FRE208" s="112"/>
      <c r="FRF208" s="112"/>
      <c r="FRG208" s="112"/>
      <c r="FRH208" s="112"/>
      <c r="FRI208" s="112"/>
      <c r="FRJ208" s="112"/>
      <c r="FRK208" s="112"/>
      <c r="FRL208" s="112"/>
      <c r="FRM208" s="112"/>
      <c r="FRN208" s="112"/>
      <c r="FRO208" s="112"/>
      <c r="FRP208" s="112"/>
      <c r="FRQ208" s="112"/>
      <c r="FRR208" s="112"/>
      <c r="FRS208" s="112"/>
      <c r="FRT208" s="112"/>
      <c r="FRU208" s="112"/>
      <c r="FRV208" s="112"/>
      <c r="FRW208" s="112"/>
      <c r="FRX208" s="112"/>
      <c r="FRY208" s="112"/>
      <c r="FRZ208" s="112"/>
      <c r="FSA208" s="112"/>
      <c r="FSB208" s="112"/>
      <c r="FSC208" s="112"/>
      <c r="FSD208" s="112"/>
      <c r="FSE208" s="112"/>
      <c r="FSF208" s="112"/>
      <c r="FSG208" s="112"/>
      <c r="FSH208" s="112"/>
      <c r="FSI208" s="112"/>
      <c r="FSJ208" s="112"/>
      <c r="FSK208" s="112"/>
      <c r="FSL208" s="112"/>
      <c r="FSM208" s="112"/>
      <c r="FSN208" s="112"/>
      <c r="FSO208" s="112"/>
      <c r="FSP208" s="112"/>
      <c r="FSQ208" s="112"/>
      <c r="FSR208" s="112"/>
      <c r="FSS208" s="112"/>
      <c r="FST208" s="112"/>
      <c r="FSU208" s="112"/>
      <c r="FSV208" s="112"/>
      <c r="FSW208" s="112"/>
      <c r="FSX208" s="112"/>
      <c r="FSY208" s="112"/>
      <c r="FSZ208" s="112"/>
      <c r="FTA208" s="112"/>
    </row>
    <row r="209" spans="1:13" s="112" customFormat="1" ht="15.75">
      <c r="A209" s="340"/>
      <c r="C209" s="521" t="s">
        <v>676</v>
      </c>
      <c r="D209" s="516"/>
      <c r="E209" s="152"/>
      <c r="F209" s="353"/>
      <c r="G209" s="353"/>
      <c r="H209" s="170"/>
      <c r="I209" s="170"/>
      <c r="J209" s="170"/>
      <c r="K209" s="241"/>
      <c r="L209" s="241"/>
      <c r="M209" s="175"/>
    </row>
    <row r="210" spans="1:13" s="112" customFormat="1" ht="15.75">
      <c r="A210" s="340"/>
      <c r="B210" s="521"/>
      <c r="C210" s="519">
        <v>390.1</v>
      </c>
      <c r="D210" s="520" t="s">
        <v>495</v>
      </c>
      <c r="E210" s="152"/>
      <c r="F210" s="353"/>
      <c r="G210" s="353"/>
      <c r="H210" s="529">
        <v>68783</v>
      </c>
      <c r="I210" s="529">
        <v>783836</v>
      </c>
      <c r="J210" s="170"/>
      <c r="K210" s="241"/>
      <c r="L210" s="241"/>
      <c r="M210" s="175"/>
    </row>
    <row r="211" spans="1:13" s="112" customFormat="1" ht="15.75">
      <c r="A211" s="340"/>
      <c r="B211" s="521"/>
      <c r="C211" s="519"/>
      <c r="D211" s="520"/>
      <c r="E211" s="152"/>
      <c r="F211" s="353"/>
      <c r="G211" s="353"/>
      <c r="H211" s="529"/>
      <c r="I211" s="529"/>
      <c r="J211" s="170"/>
      <c r="K211" s="241"/>
      <c r="L211" s="241"/>
      <c r="M211" s="175"/>
    </row>
    <row r="212" spans="1:13" s="112" customFormat="1" ht="15.75">
      <c r="A212" s="340"/>
      <c r="C212" s="521" t="s">
        <v>663</v>
      </c>
      <c r="D212" s="520"/>
      <c r="E212" s="152"/>
      <c r="F212" s="716">
        <v>0.27489999999999998</v>
      </c>
      <c r="G212" s="353"/>
      <c r="H212" s="529">
        <f>ROUND(+H210*F212,0)</f>
        <v>18908</v>
      </c>
      <c r="I212" s="529">
        <f>ROUND(I210*F212,0)</f>
        <v>215477</v>
      </c>
      <c r="J212" s="170"/>
      <c r="K212" s="241"/>
      <c r="L212" s="241"/>
      <c r="M212" s="175"/>
    </row>
    <row r="213" spans="1:13" s="112" customFormat="1" ht="15.75">
      <c r="A213" s="340"/>
      <c r="C213" s="521"/>
      <c r="D213" s="520"/>
      <c r="E213" s="152"/>
      <c r="F213" s="716"/>
      <c r="G213" s="353"/>
      <c r="H213" s="529"/>
      <c r="I213" s="529"/>
      <c r="J213" s="170"/>
      <c r="K213" s="241"/>
      <c r="L213" s="241"/>
      <c r="M213" s="175"/>
    </row>
    <row r="214" spans="1:13" s="112" customFormat="1" ht="15.75">
      <c r="A214" s="340"/>
      <c r="C214" s="521" t="s">
        <v>662</v>
      </c>
      <c r="D214" s="520"/>
      <c r="E214" s="152"/>
      <c r="F214" s="716"/>
      <c r="G214" s="353"/>
      <c r="H214" s="529"/>
      <c r="I214" s="529"/>
      <c r="J214" s="170"/>
      <c r="K214" s="241"/>
      <c r="L214" s="241"/>
      <c r="M214" s="175"/>
    </row>
    <row r="215" spans="1:13" s="112" customFormat="1">
      <c r="A215" s="340"/>
      <c r="C215" s="519">
        <v>390.1</v>
      </c>
      <c r="D215" s="520" t="s">
        <v>495</v>
      </c>
      <c r="E215" s="152"/>
      <c r="F215" s="716"/>
      <c r="G215" s="353"/>
      <c r="H215" s="529">
        <v>373399</v>
      </c>
      <c r="I215" s="529">
        <v>8379730</v>
      </c>
      <c r="J215" s="170"/>
      <c r="K215" s="241"/>
      <c r="L215" s="241"/>
      <c r="M215" s="175"/>
    </row>
    <row r="216" spans="1:13" s="112" customFormat="1">
      <c r="A216" s="340"/>
      <c r="C216" s="519"/>
      <c r="D216" s="520"/>
      <c r="E216" s="152"/>
      <c r="F216" s="716"/>
      <c r="G216" s="353"/>
      <c r="H216" s="529"/>
      <c r="I216" s="529"/>
      <c r="J216" s="170"/>
      <c r="K216" s="241"/>
      <c r="L216" s="241"/>
      <c r="M216" s="175"/>
    </row>
    <row r="217" spans="1:13" s="112" customFormat="1" ht="15.75">
      <c r="A217" s="340"/>
      <c r="C217" s="717" t="s">
        <v>665</v>
      </c>
      <c r="D217" s="520"/>
      <c r="E217" s="152"/>
      <c r="F217" s="716">
        <v>0.13039999999999999</v>
      </c>
      <c r="G217" s="353"/>
      <c r="H217" s="530">
        <f>ROUND(+H215*F217,0)</f>
        <v>48691</v>
      </c>
      <c r="I217" s="530">
        <f>ROUND(I215*F217,0)</f>
        <v>1092717</v>
      </c>
      <c r="J217" s="170"/>
      <c r="K217" s="241"/>
      <c r="L217" s="241"/>
      <c r="M217" s="175"/>
    </row>
    <row r="218" spans="1:13" s="112" customFormat="1" ht="15.75">
      <c r="A218" s="340"/>
      <c r="B218" s="521"/>
      <c r="C218" s="44"/>
      <c r="D218" s="1"/>
      <c r="E218" s="152"/>
      <c r="F218" s="353"/>
      <c r="G218" s="353"/>
      <c r="H218" s="529"/>
      <c r="I218" s="529"/>
      <c r="J218" s="170"/>
      <c r="K218" s="241"/>
      <c r="L218" s="241"/>
      <c r="M218" s="175"/>
    </row>
    <row r="219" spans="1:13" s="112" customFormat="1" ht="15.75">
      <c r="A219" s="340"/>
      <c r="C219" s="521" t="s">
        <v>521</v>
      </c>
      <c r="D219" s="1"/>
      <c r="E219" s="152"/>
      <c r="F219" s="353"/>
      <c r="G219" s="353"/>
      <c r="H219" s="530">
        <f>+H195+H207+H212-H217</f>
        <v>2444169</v>
      </c>
      <c r="I219" s="530">
        <f>+I195+I207+I212-I217</f>
        <v>30010242</v>
      </c>
      <c r="J219" s="170"/>
      <c r="K219" s="241"/>
      <c r="L219" s="241"/>
      <c r="M219" s="175"/>
    </row>
    <row r="220" spans="1:13" s="112" customFormat="1">
      <c r="A220" s="340"/>
      <c r="B220" s="1"/>
      <c r="C220" s="44"/>
      <c r="D220" s="1"/>
      <c r="E220" s="152"/>
      <c r="F220" s="353"/>
      <c r="G220" s="353"/>
      <c r="H220" s="170"/>
      <c r="I220" s="170"/>
      <c r="J220" s="170"/>
      <c r="K220" s="241"/>
      <c r="L220" s="241"/>
      <c r="M220" s="175"/>
    </row>
    <row r="221" spans="1:13" s="112" customFormat="1" ht="15.75">
      <c r="A221" s="340"/>
      <c r="C221" s="521" t="s">
        <v>522</v>
      </c>
      <c r="D221" s="516"/>
      <c r="E221" s="152"/>
      <c r="F221" s="353"/>
      <c r="G221" s="353"/>
      <c r="H221" s="170">
        <f>+H181+H219</f>
        <v>23793932</v>
      </c>
      <c r="I221" s="170">
        <f>+I181+I219</f>
        <v>662628813</v>
      </c>
      <c r="J221" s="170"/>
      <c r="K221" s="241"/>
      <c r="L221" s="241"/>
      <c r="M221" s="175"/>
    </row>
    <row r="222" spans="1:13" s="112" customFormat="1" ht="15.75">
      <c r="A222" s="340"/>
      <c r="B222" s="521"/>
      <c r="C222" s="516"/>
      <c r="D222" s="516"/>
      <c r="E222" s="152"/>
      <c r="F222" s="353"/>
      <c r="G222" s="353"/>
      <c r="H222" s="170"/>
      <c r="I222" s="170"/>
      <c r="J222" s="170"/>
      <c r="K222" s="241"/>
      <c r="L222" s="241"/>
      <c r="M222" s="175"/>
    </row>
    <row r="223" spans="1:13" s="112" customFormat="1">
      <c r="A223" s="340"/>
      <c r="C223" s="516"/>
      <c r="D223" s="516" t="s">
        <v>666</v>
      </c>
      <c r="E223" s="152"/>
      <c r="F223" s="353"/>
      <c r="G223" s="353"/>
      <c r="H223" s="529"/>
      <c r="I223" s="529">
        <f>+I179</f>
        <v>4251202</v>
      </c>
      <c r="J223" s="170"/>
      <c r="K223" s="241"/>
      <c r="L223" s="241"/>
      <c r="M223" s="175"/>
    </row>
    <row r="224" spans="1:13" s="112" customFormat="1">
      <c r="A224" s="340"/>
      <c r="C224" s="516"/>
      <c r="D224" s="516"/>
      <c r="E224" s="152"/>
      <c r="F224" s="353"/>
      <c r="G224" s="353"/>
      <c r="H224" s="529"/>
      <c r="I224" s="529"/>
      <c r="J224" s="170"/>
      <c r="K224" s="241"/>
      <c r="L224" s="241"/>
      <c r="M224" s="175"/>
    </row>
    <row r="225" spans="1:13" s="112" customFormat="1">
      <c r="A225" s="340"/>
      <c r="C225" s="526"/>
      <c r="D225" s="516" t="s">
        <v>670</v>
      </c>
      <c r="E225" s="152"/>
      <c r="F225" s="353"/>
      <c r="G225" s="353"/>
      <c r="H225" s="530">
        <v>-1141000</v>
      </c>
      <c r="I225" s="530"/>
      <c r="J225" s="170"/>
      <c r="K225" s="241"/>
      <c r="L225" s="241"/>
      <c r="M225" s="175"/>
    </row>
    <row r="226" spans="1:13" s="112" customFormat="1">
      <c r="A226" s="340"/>
      <c r="C226" s="516"/>
      <c r="D226" s="516"/>
      <c r="E226" s="152"/>
      <c r="F226" s="353"/>
      <c r="G226" s="353"/>
      <c r="H226" s="170"/>
      <c r="I226" s="170"/>
      <c r="J226" s="170"/>
      <c r="K226" s="241"/>
      <c r="L226" s="241"/>
      <c r="M226" s="175"/>
    </row>
    <row r="227" spans="1:13" s="112" customFormat="1" ht="15.75">
      <c r="A227" s="340"/>
      <c r="C227" s="527" t="s">
        <v>523</v>
      </c>
      <c r="D227" s="516"/>
      <c r="E227" s="152"/>
      <c r="F227" s="353"/>
      <c r="G227" s="353"/>
      <c r="H227" s="170">
        <f>+H225+H223+H221</f>
        <v>22652932</v>
      </c>
      <c r="I227" s="170">
        <f>+I221-I223</f>
        <v>658377611</v>
      </c>
      <c r="J227" s="718" t="s">
        <v>667</v>
      </c>
      <c r="K227" s="241"/>
      <c r="L227" s="241"/>
      <c r="M227" s="175"/>
    </row>
    <row r="228" spans="1:13" s="112" customFormat="1">
      <c r="A228" s="340"/>
      <c r="B228" s="151"/>
      <c r="C228" s="151"/>
      <c r="D228" s="356"/>
      <c r="E228" s="152"/>
      <c r="F228" s="353"/>
      <c r="G228" s="353"/>
      <c r="H228" s="170"/>
      <c r="I228" s="354"/>
      <c r="J228" s="170"/>
      <c r="K228" s="241"/>
      <c r="L228" s="241"/>
      <c r="M228" s="175"/>
    </row>
    <row r="229" spans="1:13" s="112" customFormat="1">
      <c r="A229" s="340"/>
      <c r="B229" s="151"/>
      <c r="C229" s="151"/>
      <c r="D229" s="356"/>
      <c r="E229" s="152"/>
      <c r="F229" s="564"/>
      <c r="G229" s="353"/>
      <c r="H229" s="170"/>
      <c r="I229" s="354"/>
      <c r="J229" s="170"/>
      <c r="K229" s="241"/>
      <c r="L229" s="241"/>
      <c r="M229" s="175"/>
    </row>
    <row r="230" spans="1:13" s="112" customFormat="1">
      <c r="A230" s="340"/>
      <c r="B230" s="151"/>
      <c r="C230" s="151"/>
      <c r="D230" s="356"/>
      <c r="E230" s="152"/>
      <c r="F230" s="353"/>
      <c r="G230" s="353"/>
      <c r="H230" s="170"/>
      <c r="I230" s="354"/>
      <c r="J230" s="170"/>
      <c r="K230" s="241"/>
      <c r="L230" s="241"/>
      <c r="M230" s="175"/>
    </row>
    <row r="231" spans="1:13" s="112" customFormat="1">
      <c r="A231" s="340"/>
      <c r="B231" s="151"/>
      <c r="C231" s="151"/>
      <c r="D231" s="356"/>
      <c r="E231" s="152"/>
      <c r="F231" s="353"/>
      <c r="G231" s="353"/>
      <c r="H231" s="170"/>
      <c r="I231" s="354"/>
      <c r="J231" s="170"/>
      <c r="K231" s="241"/>
      <c r="L231" s="241"/>
      <c r="M231" s="175"/>
    </row>
    <row r="232" spans="1:13" s="112" customFormat="1">
      <c r="A232" s="340"/>
      <c r="B232" s="151"/>
      <c r="C232" s="151"/>
      <c r="D232" s="356"/>
      <c r="E232" s="152"/>
      <c r="F232" s="353"/>
      <c r="G232" s="353"/>
      <c r="H232" s="170"/>
      <c r="I232" s="354"/>
      <c r="J232" s="170"/>
      <c r="K232" s="241"/>
      <c r="L232" s="241"/>
      <c r="M232" s="175"/>
    </row>
    <row r="233" spans="1:13" s="112" customFormat="1">
      <c r="A233" s="340"/>
      <c r="B233" s="151"/>
      <c r="C233" s="151"/>
      <c r="D233" s="356"/>
      <c r="E233" s="152"/>
      <c r="F233" s="353"/>
      <c r="G233" s="353"/>
      <c r="H233" s="170"/>
      <c r="I233" s="354"/>
      <c r="J233" s="170"/>
      <c r="K233" s="241"/>
      <c r="L233" s="241"/>
      <c r="M233" s="175"/>
    </row>
    <row r="234" spans="1:13" s="112" customFormat="1">
      <c r="A234" s="340"/>
      <c r="B234" s="151"/>
      <c r="C234" s="151"/>
      <c r="D234" s="356"/>
      <c r="E234" s="152"/>
      <c r="F234" s="353"/>
      <c r="G234" s="353"/>
      <c r="H234" s="170"/>
      <c r="I234" s="354"/>
      <c r="J234" s="170"/>
      <c r="K234" s="241"/>
      <c r="L234" s="342"/>
      <c r="M234" s="175"/>
    </row>
    <row r="235" spans="1:13" s="112" customFormat="1">
      <c r="A235" s="342"/>
      <c r="B235" s="151"/>
      <c r="C235" s="151"/>
      <c r="D235" s="150"/>
      <c r="E235" s="150"/>
      <c r="F235" s="353"/>
      <c r="G235" s="353"/>
      <c r="H235" s="170"/>
      <c r="I235" s="354"/>
      <c r="J235" s="170"/>
      <c r="K235" s="241"/>
      <c r="L235" s="342"/>
      <c r="M235" s="175"/>
    </row>
    <row r="236" spans="1:13" s="112" customFormat="1">
      <c r="A236" s="340"/>
      <c r="B236" s="151"/>
      <c r="C236" s="151"/>
      <c r="D236" s="150"/>
      <c r="E236" s="150"/>
      <c r="F236" s="353"/>
      <c r="G236" s="353"/>
      <c r="H236" s="357"/>
      <c r="I236" s="354"/>
      <c r="J236" s="357"/>
      <c r="K236" s="241"/>
      <c r="L236" s="350"/>
      <c r="M236" s="175"/>
    </row>
    <row r="237" spans="1:13" s="112" customFormat="1">
      <c r="A237" s="342"/>
      <c r="B237" s="151"/>
      <c r="C237" s="151"/>
      <c r="D237" s="150"/>
      <c r="E237" s="150"/>
      <c r="F237" s="353"/>
      <c r="G237" s="353"/>
      <c r="H237" s="150"/>
      <c r="I237" s="354"/>
      <c r="J237" s="150"/>
      <c r="K237" s="241"/>
      <c r="L237" s="342"/>
      <c r="M237" s="175"/>
    </row>
    <row r="238" spans="1:13" s="112" customFormat="1">
      <c r="A238" s="342"/>
      <c r="B238" s="152"/>
      <c r="C238" s="151"/>
      <c r="D238" s="148"/>
      <c r="E238" s="152"/>
      <c r="F238" s="358"/>
      <c r="G238" s="358"/>
      <c r="H238" s="150"/>
      <c r="I238" s="354"/>
      <c r="J238" s="150"/>
      <c r="K238" s="241"/>
      <c r="L238" s="342"/>
      <c r="M238" s="175"/>
    </row>
    <row r="239" spans="1:13" s="112" customFormat="1">
      <c r="A239" s="340"/>
      <c r="B239" s="151"/>
      <c r="C239" s="151"/>
      <c r="D239" s="154"/>
      <c r="E239" s="154"/>
      <c r="F239" s="359"/>
      <c r="G239" s="359"/>
      <c r="H239" s="170"/>
      <c r="I239" s="354"/>
      <c r="J239" s="149"/>
      <c r="K239" s="241"/>
      <c r="L239" s="342"/>
      <c r="M239" s="175"/>
    </row>
    <row r="240" spans="1:13" s="112" customFormat="1">
      <c r="A240" s="340"/>
      <c r="B240" s="151"/>
      <c r="C240" s="151"/>
      <c r="D240" s="154"/>
      <c r="E240" s="154"/>
      <c r="F240" s="359"/>
      <c r="G240" s="359"/>
      <c r="H240" s="170"/>
      <c r="I240" s="354"/>
      <c r="J240" s="149"/>
      <c r="K240" s="241"/>
      <c r="L240" s="342"/>
      <c r="M240" s="175"/>
    </row>
    <row r="241" spans="1:13" s="112" customFormat="1">
      <c r="A241" s="340"/>
      <c r="B241" s="151"/>
      <c r="C241" s="151"/>
      <c r="D241" s="154"/>
      <c r="E241" s="154"/>
      <c r="F241" s="359"/>
      <c r="G241" s="359"/>
      <c r="H241" s="170"/>
      <c r="I241" s="354"/>
      <c r="J241" s="170"/>
      <c r="K241" s="241"/>
      <c r="L241" s="342"/>
      <c r="M241" s="175"/>
    </row>
    <row r="242" spans="1:13" s="112" customFormat="1">
      <c r="A242" s="171"/>
      <c r="C242" s="172"/>
      <c r="D242" s="140"/>
      <c r="E242" s="140"/>
      <c r="F242" s="146"/>
      <c r="G242" s="146"/>
      <c r="H242" s="130"/>
      <c r="I242" s="113"/>
      <c r="J242" s="130"/>
      <c r="K242" s="175"/>
      <c r="M242" s="175"/>
    </row>
    <row r="243" spans="1:13" s="112" customFormat="1">
      <c r="A243" s="171"/>
      <c r="B243" s="172"/>
      <c r="C243" s="172"/>
      <c r="D243" s="140"/>
      <c r="E243" s="140"/>
      <c r="F243" s="128"/>
      <c r="G243" s="128"/>
      <c r="H243" s="130"/>
      <c r="I243" s="113"/>
      <c r="J243" s="124"/>
      <c r="K243" s="175"/>
      <c r="M243" s="175"/>
    </row>
    <row r="244" spans="1:13" s="112" customFormat="1">
      <c r="A244" s="171"/>
      <c r="B244" s="172"/>
      <c r="C244" s="172"/>
      <c r="D244" s="140"/>
      <c r="E244" s="140"/>
      <c r="F244" s="128"/>
      <c r="G244" s="128"/>
      <c r="H244" s="130"/>
      <c r="I244" s="113"/>
      <c r="J244" s="124"/>
      <c r="K244" s="175"/>
      <c r="M244" s="175"/>
    </row>
    <row r="245" spans="1:13" s="112" customFormat="1">
      <c r="A245" s="171"/>
      <c r="B245" s="172"/>
      <c r="C245" s="172"/>
      <c r="D245" s="140"/>
      <c r="E245" s="140"/>
      <c r="F245" s="128"/>
      <c r="G245" s="128"/>
      <c r="H245" s="130"/>
      <c r="I245" s="113"/>
      <c r="J245" s="124"/>
      <c r="K245" s="175"/>
      <c r="M245" s="175"/>
    </row>
    <row r="246" spans="1:13" s="112" customFormat="1">
      <c r="A246" s="171"/>
      <c r="B246" s="172"/>
      <c r="C246" s="172"/>
      <c r="D246" s="140"/>
      <c r="E246" s="140"/>
      <c r="F246" s="144"/>
      <c r="G246" s="144"/>
      <c r="H246" s="130"/>
      <c r="I246" s="113"/>
      <c r="J246" s="124"/>
      <c r="K246" s="175"/>
      <c r="M246" s="175"/>
    </row>
    <row r="247" spans="1:13" s="112" customFormat="1">
      <c r="A247" s="171"/>
      <c r="B247" s="172"/>
      <c r="C247" s="172"/>
      <c r="D247" s="140"/>
      <c r="E247" s="140"/>
      <c r="F247" s="156"/>
      <c r="G247" s="156"/>
      <c r="H247" s="132"/>
      <c r="I247" s="113"/>
      <c r="J247" s="132"/>
      <c r="K247" s="175"/>
      <c r="M247" s="175"/>
    </row>
    <row r="248" spans="1:13" s="112" customFormat="1">
      <c r="B248" s="172"/>
      <c r="C248" s="172"/>
      <c r="D248" s="140"/>
      <c r="E248" s="140"/>
      <c r="F248" s="157"/>
      <c r="G248" s="157"/>
      <c r="H248" s="130"/>
      <c r="I248" s="113"/>
      <c r="J248" s="130"/>
      <c r="K248" s="175"/>
      <c r="M248" s="175"/>
    </row>
    <row r="249" spans="1:13" s="112" customFormat="1">
      <c r="A249" s="171"/>
      <c r="B249" s="172"/>
      <c r="C249" s="172"/>
      <c r="D249" s="158"/>
      <c r="E249" s="158"/>
      <c r="F249" s="159"/>
      <c r="G249" s="144"/>
      <c r="H249" s="130"/>
      <c r="I249" s="113"/>
      <c r="J249" s="124"/>
      <c r="K249" s="175"/>
      <c r="M249" s="175"/>
    </row>
    <row r="250" spans="1:13" s="112" customFormat="1">
      <c r="A250" s="171"/>
      <c r="B250" s="172"/>
      <c r="C250" s="172"/>
      <c r="D250" s="140"/>
      <c r="E250" s="140"/>
      <c r="F250" s="144"/>
      <c r="G250" s="144"/>
      <c r="H250" s="130"/>
      <c r="I250" s="113"/>
      <c r="J250" s="124"/>
      <c r="K250" s="175"/>
      <c r="M250" s="175"/>
    </row>
    <row r="251" spans="1:13" s="112" customFormat="1">
      <c r="A251" s="171"/>
      <c r="B251" s="172"/>
      <c r="C251" s="172"/>
      <c r="D251" s="140"/>
      <c r="E251" s="140"/>
      <c r="F251" s="144"/>
      <c r="G251" s="144"/>
      <c r="H251" s="160"/>
      <c r="I251" s="113"/>
      <c r="J251" s="160"/>
      <c r="K251" s="175"/>
      <c r="M251" s="175"/>
    </row>
    <row r="252" spans="1:13" s="112" customFormat="1">
      <c r="B252" s="172"/>
      <c r="C252" s="172"/>
      <c r="D252" s="119"/>
      <c r="E252" s="119"/>
      <c r="F252" s="119"/>
      <c r="G252" s="119"/>
      <c r="H252" s="119"/>
      <c r="I252" s="113"/>
      <c r="J252" s="119"/>
      <c r="K252" s="175"/>
      <c r="M252" s="175"/>
    </row>
    <row r="253" spans="1:13" s="112" customFormat="1">
      <c r="A253" s="171"/>
      <c r="B253" s="172"/>
      <c r="C253" s="172"/>
      <c r="D253" s="110"/>
      <c r="E253" s="110"/>
      <c r="F253" s="128"/>
      <c r="G253" s="128"/>
      <c r="H253" s="160"/>
      <c r="I253" s="113"/>
      <c r="J253" s="160"/>
      <c r="K253" s="175"/>
      <c r="M253" s="175"/>
    </row>
    <row r="254" spans="1:13" s="112" customFormat="1">
      <c r="B254" s="172"/>
      <c r="C254" s="172"/>
      <c r="D254" s="110"/>
      <c r="E254" s="110"/>
      <c r="F254" s="128"/>
      <c r="G254" s="128"/>
      <c r="H254" s="130"/>
      <c r="I254" s="113"/>
      <c r="J254" s="130"/>
      <c r="K254" s="175"/>
      <c r="M254" s="175"/>
    </row>
    <row r="255" spans="1:13" s="112" customFormat="1">
      <c r="A255" s="171"/>
      <c r="B255" s="172"/>
      <c r="C255" s="172"/>
      <c r="D255" s="161"/>
      <c r="E255" s="161"/>
      <c r="F255" s="144"/>
      <c r="G255" s="128"/>
      <c r="H255" s="130"/>
      <c r="I255" s="113"/>
      <c r="J255" s="124"/>
      <c r="K255" s="175"/>
      <c r="M255" s="175"/>
    </row>
    <row r="256" spans="1:13" s="112" customFormat="1">
      <c r="A256" s="171"/>
      <c r="B256" s="172"/>
      <c r="C256" s="172"/>
      <c r="D256" s="161"/>
      <c r="E256" s="161"/>
      <c r="F256" s="144"/>
      <c r="G256" s="144"/>
      <c r="H256" s="130"/>
      <c r="I256" s="113"/>
      <c r="J256" s="124"/>
      <c r="K256" s="175"/>
      <c r="M256" s="175"/>
    </row>
    <row r="257" spans="1:603" s="112" customFormat="1">
      <c r="A257" s="171"/>
      <c r="B257" s="172"/>
      <c r="C257" s="172"/>
      <c r="D257" s="162"/>
      <c r="E257" s="162"/>
      <c r="F257" s="138"/>
      <c r="G257" s="138"/>
      <c r="H257" s="160"/>
      <c r="I257" s="113"/>
      <c r="J257" s="160"/>
      <c r="K257" s="175"/>
      <c r="M257" s="175"/>
    </row>
    <row r="258" spans="1:603" s="112" customFormat="1">
      <c r="B258" s="172"/>
      <c r="C258" s="172"/>
      <c r="D258" s="140"/>
      <c r="E258" s="140"/>
      <c r="F258" s="138"/>
      <c r="G258" s="138"/>
      <c r="H258" s="130"/>
      <c r="I258" s="113"/>
      <c r="J258" s="130"/>
      <c r="K258" s="175"/>
      <c r="M258" s="175"/>
    </row>
    <row r="259" spans="1:603" s="112" customFormat="1">
      <c r="A259" s="171"/>
      <c r="B259" s="172"/>
      <c r="C259" s="172"/>
      <c r="D259" s="140"/>
      <c r="E259" s="140"/>
      <c r="F259" s="138"/>
      <c r="G259" s="138"/>
      <c r="H259" s="130"/>
      <c r="I259" s="113"/>
      <c r="J259" s="130"/>
      <c r="K259" s="175"/>
      <c r="M259" s="175"/>
    </row>
    <row r="260" spans="1:603" s="112" customFormat="1">
      <c r="B260" s="172"/>
      <c r="C260" s="172"/>
      <c r="D260" s="140"/>
      <c r="E260" s="140"/>
      <c r="F260" s="138"/>
      <c r="G260" s="138"/>
      <c r="H260" s="110"/>
      <c r="I260" s="113"/>
      <c r="J260" s="110"/>
      <c r="K260" s="175"/>
      <c r="L260" s="173"/>
      <c r="M260" s="175"/>
    </row>
    <row r="261" spans="1:603" s="112" customFormat="1">
      <c r="A261" s="171"/>
      <c r="B261" s="172"/>
      <c r="C261" s="172"/>
      <c r="D261" s="124"/>
      <c r="E261" s="124"/>
      <c r="F261" s="138"/>
      <c r="G261" s="138"/>
      <c r="H261" s="163"/>
      <c r="I261" s="113"/>
      <c r="J261" s="163"/>
      <c r="K261" s="175"/>
      <c r="M261" s="175"/>
    </row>
    <row r="262" spans="1:603" s="112" customFormat="1">
      <c r="B262" s="172"/>
      <c r="C262" s="172"/>
      <c r="D262" s="110"/>
      <c r="E262" s="110"/>
      <c r="F262" s="128"/>
      <c r="G262" s="128"/>
      <c r="H262" s="164"/>
      <c r="I262" s="113"/>
      <c r="J262" s="164"/>
      <c r="K262" s="175"/>
      <c r="M262" s="175"/>
    </row>
    <row r="263" spans="1:603" s="169" customFormat="1" ht="15.75" thickBot="1">
      <c r="A263" s="171"/>
      <c r="B263" s="172"/>
      <c r="C263" s="172"/>
      <c r="D263" s="161"/>
      <c r="E263" s="161"/>
      <c r="F263" s="128"/>
      <c r="G263" s="128"/>
      <c r="H263" s="823"/>
      <c r="I263" s="113"/>
      <c r="J263" s="823"/>
      <c r="K263" s="175"/>
      <c r="L263" s="136"/>
      <c r="M263" s="175"/>
      <c r="N263" s="112"/>
      <c r="O263" s="112"/>
      <c r="P263" s="112"/>
      <c r="Q263" s="112"/>
      <c r="R263" s="112"/>
      <c r="S263" s="112"/>
      <c r="T263" s="112"/>
      <c r="U263" s="112"/>
      <c r="V263" s="112"/>
      <c r="W263" s="112"/>
      <c r="X263" s="112"/>
      <c r="Y263" s="112"/>
      <c r="Z263" s="112"/>
      <c r="AA263" s="112"/>
      <c r="AB263" s="112"/>
      <c r="AC263" s="112"/>
      <c r="AD263" s="112"/>
      <c r="AE263" s="112"/>
      <c r="AF263" s="112"/>
      <c r="AG263" s="112"/>
      <c r="AH263" s="112"/>
      <c r="AI263" s="112"/>
      <c r="AJ263" s="112"/>
      <c r="AK263" s="112"/>
      <c r="AL263" s="112"/>
      <c r="AM263" s="112"/>
      <c r="AN263" s="112"/>
      <c r="AO263" s="112"/>
      <c r="AP263" s="112"/>
      <c r="AQ263" s="112"/>
      <c r="AR263" s="112"/>
      <c r="AS263" s="112"/>
      <c r="AT263" s="112"/>
      <c r="AU263" s="112"/>
      <c r="AV263" s="112"/>
      <c r="AW263" s="112"/>
      <c r="AX263" s="112"/>
      <c r="AY263" s="112"/>
      <c r="AZ263" s="112"/>
      <c r="BA263" s="112"/>
      <c r="BB263" s="112"/>
      <c r="BC263" s="112"/>
      <c r="BD263" s="112"/>
      <c r="BE263" s="112"/>
      <c r="BF263" s="112"/>
      <c r="BG263" s="112"/>
      <c r="BH263" s="112"/>
      <c r="BI263" s="112"/>
      <c r="BJ263" s="112"/>
      <c r="BK263" s="112"/>
      <c r="BL263" s="112"/>
      <c r="BM263" s="112"/>
      <c r="BN263" s="112"/>
      <c r="BO263" s="112"/>
      <c r="BP263" s="112"/>
      <c r="BQ263" s="112"/>
      <c r="BR263" s="112"/>
      <c r="BS263" s="112"/>
      <c r="BT263" s="112"/>
      <c r="BU263" s="112"/>
      <c r="BV263" s="112"/>
      <c r="BW263" s="112"/>
      <c r="BX263" s="112"/>
      <c r="BY263" s="112"/>
      <c r="BZ263" s="112"/>
      <c r="CA263" s="112"/>
      <c r="CB263" s="112"/>
      <c r="CC263" s="112"/>
      <c r="CD263" s="112"/>
      <c r="CE263" s="112"/>
      <c r="CF263" s="112"/>
      <c r="CG263" s="112"/>
      <c r="CH263" s="112"/>
      <c r="CI263" s="112"/>
      <c r="CJ263" s="112"/>
      <c r="CK263" s="112"/>
      <c r="CL263" s="112"/>
      <c r="CM263" s="112"/>
      <c r="CN263" s="112"/>
      <c r="CO263" s="112"/>
      <c r="CP263" s="112"/>
      <c r="CQ263" s="112"/>
      <c r="CR263" s="112"/>
      <c r="CS263" s="112"/>
      <c r="CT263" s="112"/>
      <c r="CU263" s="112"/>
      <c r="CV263" s="112"/>
      <c r="CW263" s="112"/>
      <c r="CX263" s="112"/>
      <c r="CY263" s="112"/>
      <c r="CZ263" s="112"/>
      <c r="DA263" s="112"/>
      <c r="DB263" s="112"/>
      <c r="DC263" s="112"/>
      <c r="DD263" s="112"/>
      <c r="DE263" s="112"/>
      <c r="DF263" s="112"/>
      <c r="DG263" s="112"/>
      <c r="DH263" s="112"/>
      <c r="DI263" s="112"/>
      <c r="DJ263" s="112"/>
      <c r="DK263" s="112"/>
      <c r="DL263" s="112"/>
      <c r="DM263" s="112"/>
      <c r="DN263" s="112"/>
      <c r="DO263" s="112"/>
      <c r="DP263" s="112"/>
      <c r="DQ263" s="112"/>
      <c r="DR263" s="112"/>
      <c r="DS263" s="112"/>
      <c r="DT263" s="112"/>
      <c r="DU263" s="112"/>
      <c r="DV263" s="112"/>
      <c r="DW263" s="112"/>
      <c r="DX263" s="112"/>
      <c r="DY263" s="112"/>
      <c r="DZ263" s="112"/>
      <c r="EA263" s="112"/>
      <c r="EB263" s="112"/>
      <c r="EC263" s="112"/>
      <c r="ED263" s="112"/>
      <c r="EE263" s="112"/>
      <c r="EF263" s="112"/>
      <c r="EG263" s="112"/>
      <c r="EH263" s="112"/>
      <c r="EI263" s="112"/>
      <c r="EJ263" s="112"/>
      <c r="EK263" s="112"/>
      <c r="EL263" s="112"/>
      <c r="EM263" s="112"/>
      <c r="EN263" s="112"/>
      <c r="EO263" s="112"/>
      <c r="EP263" s="112"/>
      <c r="EQ263" s="112"/>
      <c r="ER263" s="112"/>
      <c r="ES263" s="112"/>
      <c r="ET263" s="112"/>
      <c r="EU263" s="112"/>
      <c r="EV263" s="112"/>
      <c r="EW263" s="112"/>
      <c r="EX263" s="112"/>
      <c r="EY263" s="112"/>
      <c r="EZ263" s="112"/>
      <c r="FA263" s="112"/>
      <c r="FB263" s="112"/>
      <c r="FC263" s="112"/>
      <c r="FD263" s="112"/>
      <c r="FE263" s="112"/>
      <c r="FF263" s="112"/>
      <c r="FG263" s="112"/>
      <c r="FH263" s="112"/>
      <c r="FI263" s="112"/>
      <c r="FJ263" s="112"/>
      <c r="FK263" s="112"/>
      <c r="FL263" s="112"/>
      <c r="FM263" s="112"/>
      <c r="FN263" s="112"/>
      <c r="FO263" s="112"/>
      <c r="FP263" s="112"/>
      <c r="FQ263" s="112"/>
      <c r="FR263" s="112"/>
      <c r="FS263" s="112"/>
      <c r="FT263" s="112"/>
      <c r="FU263" s="112"/>
      <c r="FV263" s="112"/>
      <c r="FW263" s="112"/>
      <c r="FX263" s="112"/>
      <c r="FY263" s="112"/>
      <c r="FZ263" s="112"/>
      <c r="GA263" s="112"/>
      <c r="GB263" s="112"/>
      <c r="GC263" s="112"/>
      <c r="GD263" s="112"/>
      <c r="GE263" s="112"/>
      <c r="GF263" s="112"/>
      <c r="GG263" s="112"/>
      <c r="GH263" s="112"/>
      <c r="GI263" s="112"/>
      <c r="GJ263" s="112"/>
      <c r="GK263" s="112"/>
      <c r="GL263" s="112"/>
      <c r="GM263" s="112"/>
      <c r="GN263" s="112"/>
      <c r="GO263" s="112"/>
      <c r="GP263" s="112"/>
      <c r="GQ263" s="112"/>
      <c r="GR263" s="112"/>
      <c r="GS263" s="112"/>
      <c r="GT263" s="112"/>
      <c r="GU263" s="112"/>
      <c r="GV263" s="112"/>
      <c r="GW263" s="112"/>
      <c r="GX263" s="112"/>
      <c r="GY263" s="112"/>
      <c r="GZ263" s="112"/>
      <c r="HA263" s="112"/>
      <c r="HB263" s="112"/>
      <c r="HC263" s="112"/>
      <c r="HD263" s="112"/>
      <c r="HE263" s="112"/>
      <c r="HF263" s="112"/>
      <c r="HG263" s="112"/>
      <c r="HH263" s="112"/>
      <c r="HI263" s="112"/>
      <c r="HJ263" s="112"/>
      <c r="HK263" s="112"/>
      <c r="HL263" s="112"/>
      <c r="HM263" s="112"/>
      <c r="HN263" s="112"/>
      <c r="HO263" s="112"/>
      <c r="HP263" s="112"/>
      <c r="HQ263" s="112"/>
      <c r="HR263" s="112"/>
      <c r="HS263" s="112"/>
      <c r="HT263" s="112"/>
      <c r="HU263" s="112"/>
      <c r="HV263" s="112"/>
      <c r="HW263" s="112"/>
      <c r="HX263" s="112"/>
      <c r="HY263" s="112"/>
      <c r="HZ263" s="112"/>
      <c r="IA263" s="112"/>
      <c r="IB263" s="112"/>
      <c r="IC263" s="112"/>
      <c r="ID263" s="112"/>
      <c r="IE263" s="112"/>
      <c r="IF263" s="112"/>
      <c r="IG263" s="112"/>
      <c r="IH263" s="112"/>
      <c r="II263" s="112"/>
      <c r="IJ263" s="112"/>
      <c r="IK263" s="112"/>
      <c r="IL263" s="112"/>
      <c r="IM263" s="112"/>
      <c r="IN263" s="112"/>
      <c r="IO263" s="112"/>
      <c r="IP263" s="112"/>
      <c r="IQ263" s="112"/>
      <c r="IR263" s="112"/>
      <c r="IS263" s="112"/>
      <c r="IT263" s="112"/>
      <c r="IU263" s="112"/>
      <c r="IV263" s="112"/>
      <c r="IW263" s="112"/>
      <c r="IX263" s="112"/>
      <c r="IY263" s="112"/>
      <c r="IZ263" s="112"/>
      <c r="JA263" s="112"/>
      <c r="JB263" s="112"/>
      <c r="JC263" s="112"/>
      <c r="JD263" s="112"/>
      <c r="JE263" s="112"/>
      <c r="JF263" s="112"/>
      <c r="JG263" s="112"/>
      <c r="JH263" s="112"/>
      <c r="JI263" s="112"/>
      <c r="JJ263" s="112"/>
      <c r="JK263" s="112"/>
      <c r="JL263" s="112"/>
      <c r="JM263" s="112"/>
      <c r="JN263" s="112"/>
      <c r="JO263" s="112"/>
      <c r="JP263" s="112"/>
      <c r="JQ263" s="112"/>
      <c r="JR263" s="112"/>
      <c r="JS263" s="112"/>
      <c r="JT263" s="112"/>
      <c r="JU263" s="112"/>
      <c r="JV263" s="112"/>
      <c r="JW263" s="112"/>
      <c r="JX263" s="112"/>
      <c r="JY263" s="112"/>
      <c r="JZ263" s="112"/>
      <c r="KA263" s="112"/>
      <c r="KB263" s="112"/>
      <c r="KC263" s="112"/>
      <c r="KD263" s="112"/>
      <c r="KE263" s="112"/>
      <c r="KF263" s="112"/>
      <c r="KG263" s="112"/>
      <c r="KH263" s="112"/>
      <c r="KI263" s="112"/>
      <c r="KJ263" s="112"/>
      <c r="KK263" s="112"/>
      <c r="KL263" s="112"/>
      <c r="KM263" s="112"/>
      <c r="KN263" s="112"/>
      <c r="KO263" s="112"/>
      <c r="KP263" s="112"/>
      <c r="KQ263" s="112"/>
      <c r="KR263" s="112"/>
      <c r="KS263" s="112"/>
      <c r="KT263" s="112"/>
      <c r="KU263" s="112"/>
      <c r="KV263" s="112"/>
      <c r="KW263" s="112"/>
      <c r="KX263" s="112"/>
      <c r="KY263" s="112"/>
      <c r="KZ263" s="112"/>
      <c r="LA263" s="112"/>
      <c r="LB263" s="112"/>
      <c r="LC263" s="112"/>
      <c r="LD263" s="112"/>
      <c r="LE263" s="112"/>
      <c r="LF263" s="112"/>
      <c r="LG263" s="112"/>
      <c r="LH263" s="112"/>
      <c r="LI263" s="112"/>
      <c r="LJ263" s="112"/>
      <c r="LK263" s="112"/>
      <c r="LL263" s="112"/>
      <c r="LM263" s="112"/>
      <c r="LN263" s="112"/>
      <c r="LO263" s="112"/>
      <c r="LP263" s="112"/>
      <c r="LQ263" s="112"/>
      <c r="LR263" s="112"/>
      <c r="LS263" s="112"/>
      <c r="LT263" s="112"/>
      <c r="LU263" s="112"/>
      <c r="LV263" s="112"/>
      <c r="LW263" s="112"/>
      <c r="LX263" s="112"/>
      <c r="LY263" s="112"/>
      <c r="LZ263" s="112"/>
      <c r="MA263" s="112"/>
      <c r="MB263" s="112"/>
      <c r="MC263" s="112"/>
      <c r="MD263" s="112"/>
      <c r="ME263" s="112"/>
      <c r="MF263" s="112"/>
      <c r="MG263" s="112"/>
      <c r="MH263" s="112"/>
      <c r="MI263" s="112"/>
      <c r="MJ263" s="112"/>
      <c r="MK263" s="112"/>
      <c r="ML263" s="112"/>
      <c r="MM263" s="112"/>
      <c r="MN263" s="112"/>
      <c r="MO263" s="112"/>
      <c r="MP263" s="112"/>
      <c r="MQ263" s="112"/>
      <c r="MR263" s="112"/>
      <c r="MS263" s="112"/>
      <c r="MT263" s="112"/>
      <c r="MU263" s="112"/>
      <c r="MV263" s="112"/>
      <c r="MW263" s="112"/>
      <c r="MX263" s="112"/>
      <c r="MY263" s="112"/>
      <c r="MZ263" s="112"/>
      <c r="NA263" s="112"/>
      <c r="NB263" s="112"/>
      <c r="NC263" s="112"/>
      <c r="ND263" s="112"/>
      <c r="NE263" s="112"/>
      <c r="NF263" s="112"/>
      <c r="NG263" s="112"/>
      <c r="NH263" s="112"/>
      <c r="NI263" s="112"/>
      <c r="NJ263" s="112"/>
      <c r="NK263" s="112"/>
      <c r="NL263" s="112"/>
      <c r="NM263" s="112"/>
      <c r="NN263" s="112"/>
      <c r="NO263" s="112"/>
      <c r="NP263" s="112"/>
      <c r="NQ263" s="112"/>
      <c r="NR263" s="112"/>
      <c r="NS263" s="112"/>
      <c r="NT263" s="112"/>
      <c r="NU263" s="112"/>
      <c r="NV263" s="112"/>
      <c r="NW263" s="112"/>
      <c r="NX263" s="112"/>
      <c r="NY263" s="112"/>
      <c r="NZ263" s="112"/>
      <c r="OA263" s="112"/>
      <c r="OB263" s="112"/>
      <c r="OC263" s="112"/>
      <c r="OD263" s="112"/>
      <c r="OE263" s="112"/>
      <c r="OF263" s="112"/>
      <c r="OG263" s="112"/>
      <c r="OH263" s="112"/>
      <c r="OI263" s="112"/>
      <c r="OJ263" s="112"/>
      <c r="OK263" s="112"/>
      <c r="OL263" s="112"/>
      <c r="OM263" s="112"/>
      <c r="ON263" s="112"/>
      <c r="OO263" s="112"/>
      <c r="OP263" s="112"/>
      <c r="OQ263" s="112"/>
      <c r="OR263" s="112"/>
      <c r="OS263" s="112"/>
      <c r="OT263" s="112"/>
      <c r="OU263" s="112"/>
      <c r="OV263" s="112"/>
      <c r="OW263" s="112"/>
      <c r="OX263" s="112"/>
      <c r="OY263" s="112"/>
      <c r="OZ263" s="112"/>
      <c r="PA263" s="112"/>
      <c r="PB263" s="112"/>
      <c r="PC263" s="112"/>
      <c r="PD263" s="112"/>
      <c r="PE263" s="112"/>
      <c r="PF263" s="112"/>
      <c r="PG263" s="112"/>
      <c r="PH263" s="112"/>
      <c r="PI263" s="112"/>
      <c r="PJ263" s="112"/>
      <c r="PK263" s="112"/>
      <c r="PL263" s="112"/>
      <c r="PM263" s="112"/>
      <c r="PN263" s="112"/>
      <c r="PO263" s="112"/>
      <c r="PP263" s="112"/>
      <c r="PQ263" s="112"/>
      <c r="PR263" s="112"/>
      <c r="PS263" s="112"/>
      <c r="PT263" s="112"/>
      <c r="PU263" s="112"/>
      <c r="PV263" s="112"/>
      <c r="PW263" s="112"/>
      <c r="PX263" s="112"/>
      <c r="PY263" s="112"/>
      <c r="PZ263" s="112"/>
      <c r="QA263" s="112"/>
      <c r="QB263" s="112"/>
      <c r="QC263" s="112"/>
      <c r="QD263" s="112"/>
      <c r="QE263" s="112"/>
      <c r="QF263" s="112"/>
      <c r="QG263" s="112"/>
      <c r="QH263" s="112"/>
      <c r="QI263" s="112"/>
      <c r="QJ263" s="112"/>
      <c r="QK263" s="112"/>
      <c r="QL263" s="112"/>
      <c r="QM263" s="112"/>
      <c r="QN263" s="112"/>
      <c r="QO263" s="112"/>
      <c r="QP263" s="112"/>
      <c r="QQ263" s="112"/>
      <c r="QR263" s="112"/>
      <c r="QS263" s="112"/>
      <c r="QT263" s="112"/>
      <c r="QU263" s="112"/>
      <c r="QV263" s="112"/>
      <c r="QW263" s="112"/>
      <c r="QX263" s="112"/>
      <c r="QY263" s="112"/>
      <c r="QZ263" s="112"/>
      <c r="RA263" s="112"/>
      <c r="RB263" s="112"/>
      <c r="RC263" s="112"/>
      <c r="RD263" s="112"/>
      <c r="RE263" s="112"/>
      <c r="RF263" s="112"/>
      <c r="RG263" s="112"/>
      <c r="RH263" s="112"/>
      <c r="RI263" s="112"/>
      <c r="RJ263" s="112"/>
      <c r="RK263" s="112"/>
      <c r="RL263" s="112"/>
      <c r="RM263" s="112"/>
      <c r="RN263" s="112"/>
      <c r="RO263" s="112"/>
      <c r="RP263" s="112"/>
      <c r="RQ263" s="112"/>
      <c r="RR263" s="112"/>
      <c r="RS263" s="112"/>
      <c r="RT263" s="112"/>
      <c r="RU263" s="112"/>
      <c r="RV263" s="112"/>
      <c r="RW263" s="112"/>
      <c r="RX263" s="112"/>
      <c r="RY263" s="112"/>
      <c r="RZ263" s="112"/>
      <c r="SA263" s="112"/>
      <c r="SB263" s="112"/>
      <c r="SC263" s="112"/>
      <c r="SD263" s="112"/>
      <c r="SE263" s="112"/>
      <c r="SF263" s="112"/>
      <c r="SG263" s="112"/>
      <c r="SH263" s="112"/>
      <c r="SI263" s="112"/>
      <c r="SJ263" s="112"/>
      <c r="SK263" s="112"/>
      <c r="SL263" s="112"/>
      <c r="SM263" s="112"/>
      <c r="SN263" s="112"/>
      <c r="SO263" s="112"/>
      <c r="SP263" s="112"/>
      <c r="SQ263" s="112"/>
      <c r="SR263" s="112"/>
      <c r="SS263" s="112"/>
      <c r="ST263" s="112"/>
      <c r="SU263" s="112"/>
      <c r="SV263" s="112"/>
      <c r="SW263" s="112"/>
      <c r="SX263" s="112"/>
      <c r="SY263" s="112"/>
      <c r="SZ263" s="112"/>
      <c r="TA263" s="112"/>
      <c r="TB263" s="112"/>
      <c r="TC263" s="112"/>
      <c r="TD263" s="112"/>
      <c r="TE263" s="112"/>
      <c r="TF263" s="112"/>
      <c r="TG263" s="112"/>
      <c r="TH263" s="112"/>
      <c r="TI263" s="112"/>
      <c r="TJ263" s="112"/>
      <c r="TK263" s="112"/>
      <c r="TL263" s="112"/>
      <c r="TM263" s="112"/>
      <c r="TN263" s="112"/>
      <c r="TO263" s="112"/>
      <c r="TP263" s="112"/>
      <c r="TQ263" s="112"/>
      <c r="TR263" s="112"/>
      <c r="TS263" s="112"/>
      <c r="TT263" s="112"/>
      <c r="TU263" s="112"/>
      <c r="TV263" s="112"/>
      <c r="TW263" s="112"/>
      <c r="TX263" s="112"/>
      <c r="TY263" s="112"/>
      <c r="TZ263" s="112"/>
      <c r="UA263" s="112"/>
      <c r="UB263" s="112"/>
      <c r="UC263" s="112"/>
      <c r="UD263" s="112"/>
      <c r="UE263" s="112"/>
      <c r="UF263" s="112"/>
      <c r="UG263" s="112"/>
      <c r="UH263" s="112"/>
      <c r="UI263" s="112"/>
      <c r="UJ263" s="112"/>
      <c r="UK263" s="112"/>
      <c r="UL263" s="112"/>
      <c r="UM263" s="112"/>
      <c r="UN263" s="112"/>
      <c r="UO263" s="112"/>
      <c r="UP263" s="112"/>
      <c r="UQ263" s="112"/>
      <c r="UR263" s="112"/>
      <c r="US263" s="112"/>
      <c r="UT263" s="112"/>
      <c r="UU263" s="112"/>
      <c r="UV263" s="112"/>
      <c r="UW263" s="112"/>
      <c r="UX263" s="112"/>
      <c r="UY263" s="112"/>
      <c r="UZ263" s="112"/>
      <c r="VA263" s="112"/>
      <c r="VB263" s="112"/>
      <c r="VC263" s="112"/>
      <c r="VD263" s="112"/>
      <c r="VE263" s="112"/>
      <c r="VF263" s="112"/>
      <c r="VG263" s="112"/>
      <c r="VH263" s="112"/>
      <c r="VI263" s="112"/>
      <c r="VJ263" s="112"/>
      <c r="VK263" s="112"/>
      <c r="VL263" s="112"/>
      <c r="VM263" s="112"/>
      <c r="VN263" s="112"/>
      <c r="VO263" s="112"/>
      <c r="VP263" s="112"/>
      <c r="VQ263" s="112"/>
      <c r="VR263" s="112"/>
      <c r="VS263" s="112"/>
      <c r="VT263" s="112"/>
      <c r="VU263" s="112"/>
      <c r="VV263" s="112"/>
      <c r="VW263" s="112"/>
      <c r="VX263" s="112"/>
      <c r="VY263" s="112"/>
      <c r="VZ263" s="112"/>
      <c r="WA263" s="112"/>
      <c r="WB263" s="112"/>
      <c r="WC263" s="112"/>
      <c r="WD263" s="112"/>
      <c r="WE263" s="112"/>
    </row>
    <row r="264" spans="1:603" s="112" customFormat="1" ht="15.75" thickTop="1">
      <c r="A264" s="171"/>
      <c r="B264" s="172"/>
      <c r="C264" s="172"/>
      <c r="D264" s="124"/>
      <c r="E264" s="124"/>
      <c r="F264" s="128"/>
      <c r="G264" s="128"/>
      <c r="H264" s="128"/>
      <c r="I264" s="113"/>
      <c r="J264" s="128"/>
      <c r="K264" s="175"/>
      <c r="M264" s="175"/>
    </row>
    <row r="265" spans="1:603" s="112" customFormat="1">
      <c r="A265" s="171"/>
      <c r="B265" s="172"/>
      <c r="C265" s="172"/>
      <c r="D265" s="124"/>
      <c r="E265" s="124"/>
      <c r="F265" s="128"/>
      <c r="G265" s="128"/>
      <c r="H265" s="128"/>
      <c r="I265" s="113"/>
      <c r="J265" s="128"/>
      <c r="K265" s="175"/>
      <c r="M265" s="175"/>
    </row>
    <row r="266" spans="1:603" s="112" customFormat="1">
      <c r="A266" s="171"/>
      <c r="B266" s="124"/>
      <c r="D266" s="109"/>
      <c r="E266" s="124"/>
      <c r="F266" s="128"/>
      <c r="G266" s="128"/>
      <c r="H266" s="165"/>
      <c r="I266" s="113"/>
      <c r="J266" s="165"/>
      <c r="K266" s="175"/>
      <c r="M266" s="175"/>
    </row>
    <row r="267" spans="1:603" s="112" customFormat="1">
      <c r="A267" s="171"/>
      <c r="B267" s="172"/>
      <c r="C267" s="124"/>
      <c r="D267" s="109"/>
      <c r="E267" s="124"/>
      <c r="F267" s="128"/>
      <c r="G267" s="128"/>
      <c r="H267" s="165"/>
      <c r="I267" s="113"/>
      <c r="J267" s="165"/>
      <c r="K267" s="175"/>
      <c r="M267" s="175"/>
    </row>
    <row r="268" spans="1:603" s="112" customFormat="1">
      <c r="A268" s="171"/>
      <c r="B268" s="172"/>
      <c r="C268" s="172"/>
      <c r="D268" s="110"/>
      <c r="E268" s="110"/>
      <c r="F268" s="128"/>
      <c r="G268" s="128"/>
      <c r="H268" s="130"/>
      <c r="I268" s="113"/>
      <c r="J268" s="124"/>
      <c r="K268" s="175"/>
      <c r="M268" s="175"/>
    </row>
    <row r="269" spans="1:603" s="112" customFormat="1">
      <c r="A269" s="171"/>
      <c r="B269" s="172"/>
      <c r="C269" s="172"/>
      <c r="D269" s="124"/>
      <c r="E269" s="124"/>
      <c r="F269" s="128"/>
      <c r="G269" s="128"/>
      <c r="H269" s="130"/>
      <c r="I269" s="113"/>
      <c r="J269" s="124"/>
      <c r="K269" s="175"/>
      <c r="M269" s="175"/>
    </row>
    <row r="270" spans="1:603" s="112" customFormat="1">
      <c r="A270" s="171"/>
      <c r="B270" s="172"/>
      <c r="C270" s="172"/>
      <c r="D270" s="124"/>
      <c r="E270" s="124"/>
      <c r="F270" s="128"/>
      <c r="G270" s="128"/>
      <c r="H270" s="130"/>
      <c r="I270" s="113"/>
      <c r="J270" s="124"/>
      <c r="K270" s="175"/>
      <c r="M270" s="175"/>
    </row>
    <row r="271" spans="1:603" s="112" customFormat="1">
      <c r="A271" s="171"/>
      <c r="B271" s="172"/>
      <c r="C271" s="172"/>
      <c r="D271" s="120"/>
      <c r="E271" s="110"/>
      <c r="F271" s="128"/>
      <c r="G271" s="128"/>
      <c r="H271" s="110"/>
      <c r="I271" s="113"/>
      <c r="J271" s="110"/>
      <c r="K271" s="175"/>
      <c r="M271" s="175"/>
    </row>
    <row r="272" spans="1:603" s="112" customFormat="1">
      <c r="A272" s="171"/>
      <c r="B272" s="172"/>
      <c r="C272" s="126"/>
      <c r="D272" s="110"/>
      <c r="E272" s="110"/>
      <c r="F272" s="128"/>
      <c r="G272" s="128"/>
      <c r="H272" s="110"/>
      <c r="I272" s="113"/>
      <c r="J272" s="110"/>
      <c r="K272" s="175"/>
      <c r="M272" s="175"/>
    </row>
    <row r="273" spans="1:13" s="112" customFormat="1">
      <c r="A273" s="171"/>
      <c r="B273" s="172"/>
      <c r="C273" s="172"/>
      <c r="D273" s="110"/>
      <c r="E273" s="110"/>
      <c r="F273" s="128"/>
      <c r="G273" s="128"/>
      <c r="H273" s="110"/>
      <c r="I273" s="113"/>
      <c r="J273" s="110"/>
      <c r="K273" s="175"/>
      <c r="M273" s="175"/>
    </row>
    <row r="274" spans="1:13" s="112" customFormat="1">
      <c r="A274" s="171"/>
      <c r="B274" s="172"/>
      <c r="C274" s="172"/>
      <c r="D274" s="110"/>
      <c r="E274" s="110"/>
      <c r="F274" s="110"/>
      <c r="G274" s="110"/>
      <c r="H274" s="130"/>
      <c r="I274" s="113"/>
      <c r="J274" s="124"/>
      <c r="K274" s="175"/>
      <c r="M274" s="175"/>
    </row>
    <row r="275" spans="1:13" s="112" customFormat="1">
      <c r="A275" s="171"/>
      <c r="B275" s="172"/>
      <c r="C275" s="172"/>
      <c r="D275" s="110"/>
      <c r="E275" s="110"/>
      <c r="F275" s="110"/>
      <c r="G275" s="110"/>
      <c r="H275" s="130"/>
      <c r="I275" s="113"/>
      <c r="J275" s="124"/>
      <c r="K275" s="175"/>
      <c r="M275" s="175"/>
    </row>
    <row r="276" spans="1:13" s="112" customFormat="1">
      <c r="A276" s="171"/>
      <c r="B276" s="172"/>
      <c r="C276" s="172"/>
      <c r="D276" s="110"/>
      <c r="E276" s="110"/>
      <c r="F276" s="110"/>
      <c r="G276" s="110"/>
      <c r="H276" s="130"/>
      <c r="I276" s="113"/>
      <c r="J276" s="124"/>
      <c r="K276" s="242"/>
      <c r="M276" s="175"/>
    </row>
    <row r="277" spans="1:13" s="112" customFormat="1">
      <c r="A277" s="171"/>
      <c r="B277" s="172"/>
      <c r="C277" s="172"/>
      <c r="D277" s="124"/>
      <c r="E277" s="124"/>
      <c r="F277" s="128"/>
      <c r="G277" s="128"/>
      <c r="H277" s="160"/>
      <c r="I277" s="113"/>
      <c r="J277" s="160"/>
      <c r="K277" s="243"/>
      <c r="M277" s="175"/>
    </row>
    <row r="278" spans="1:13" s="112" customFormat="1">
      <c r="A278" s="171"/>
      <c r="B278" s="172"/>
      <c r="C278" s="172"/>
      <c r="D278" s="124"/>
      <c r="E278" s="124"/>
      <c r="F278" s="128"/>
      <c r="G278" s="128"/>
      <c r="H278" s="110"/>
      <c r="I278" s="113"/>
      <c r="J278" s="110"/>
      <c r="K278" s="241"/>
      <c r="M278" s="175"/>
    </row>
    <row r="279" spans="1:13" s="112" customFormat="1">
      <c r="A279" s="125"/>
      <c r="B279" s="172"/>
      <c r="C279" s="172"/>
      <c r="D279" s="124"/>
      <c r="E279" s="124"/>
      <c r="F279" s="128"/>
      <c r="G279" s="128"/>
      <c r="H279" s="130"/>
      <c r="I279" s="113"/>
      <c r="J279" s="124"/>
      <c r="K279" s="175"/>
      <c r="M279" s="175"/>
    </row>
    <row r="280" spans="1:13" s="112" customFormat="1">
      <c r="A280" s="171"/>
      <c r="B280" s="172"/>
      <c r="C280" s="172"/>
      <c r="D280" s="124"/>
      <c r="E280" s="124"/>
      <c r="F280" s="128"/>
      <c r="G280" s="128"/>
      <c r="H280" s="130"/>
      <c r="I280" s="113"/>
      <c r="J280" s="124"/>
      <c r="K280" s="175"/>
      <c r="M280" s="175"/>
    </row>
    <row r="281" spans="1:13" s="112" customFormat="1">
      <c r="A281" s="171"/>
      <c r="B281" s="172"/>
      <c r="C281" s="172"/>
      <c r="D281" s="124"/>
      <c r="E281" s="124"/>
      <c r="F281" s="128"/>
      <c r="G281" s="128"/>
      <c r="H281" s="130"/>
      <c r="I281" s="113"/>
      <c r="J281" s="124"/>
      <c r="K281" s="175"/>
      <c r="M281" s="175"/>
    </row>
    <row r="282" spans="1:13" s="112" customFormat="1">
      <c r="A282" s="171"/>
      <c r="B282" s="172"/>
      <c r="C282" s="172"/>
      <c r="D282" s="174"/>
      <c r="E282" s="174"/>
      <c r="F282" s="128"/>
      <c r="G282" s="128"/>
      <c r="H282" s="130"/>
      <c r="I282" s="113"/>
      <c r="J282" s="124"/>
      <c r="K282" s="242"/>
      <c r="M282" s="175"/>
    </row>
    <row r="283" spans="1:13" s="112" customFormat="1">
      <c r="A283" s="171"/>
      <c r="B283" s="172"/>
      <c r="C283" s="172"/>
      <c r="D283" s="124"/>
      <c r="E283" s="124"/>
      <c r="F283" s="128"/>
      <c r="G283" s="128"/>
      <c r="H283" s="160"/>
      <c r="I283" s="113"/>
      <c r="J283" s="160"/>
      <c r="K283" s="315"/>
      <c r="M283" s="175"/>
    </row>
    <row r="284" spans="1:13" s="112" customFormat="1">
      <c r="A284" s="171"/>
      <c r="B284" s="172"/>
      <c r="C284" s="172"/>
      <c r="D284" s="124"/>
      <c r="E284" s="124"/>
      <c r="F284" s="128"/>
      <c r="G284" s="128"/>
      <c r="H284" s="110"/>
      <c r="I284" s="166"/>
      <c r="J284" s="110"/>
      <c r="K284" s="175"/>
      <c r="M284" s="175"/>
    </row>
    <row r="285" spans="1:13" s="112" customFormat="1">
      <c r="A285" s="171"/>
      <c r="B285" s="172"/>
      <c r="C285" s="172"/>
      <c r="D285" s="174"/>
      <c r="E285" s="174"/>
      <c r="F285" s="128"/>
      <c r="G285" s="128"/>
      <c r="H285" s="130"/>
      <c r="I285" s="113"/>
      <c r="J285" s="124"/>
      <c r="K285" s="175"/>
      <c r="M285" s="175"/>
    </row>
    <row r="286" spans="1:13" s="112" customFormat="1">
      <c r="A286" s="171"/>
      <c r="B286" s="172"/>
      <c r="C286" s="172"/>
      <c r="D286" s="174"/>
      <c r="E286" s="174"/>
      <c r="F286" s="128"/>
      <c r="G286" s="128"/>
      <c r="H286" s="160"/>
      <c r="I286" s="113"/>
      <c r="J286" s="160"/>
      <c r="K286" s="315"/>
      <c r="M286" s="175"/>
    </row>
    <row r="287" spans="1:13" s="112" customFormat="1">
      <c r="A287" s="171"/>
      <c r="B287" s="172"/>
      <c r="C287" s="172"/>
      <c r="D287" s="174"/>
      <c r="E287" s="174"/>
      <c r="F287" s="128"/>
      <c r="G287" s="128"/>
      <c r="H287" s="123"/>
      <c r="I287" s="113"/>
      <c r="J287" s="123"/>
      <c r="K287" s="175"/>
      <c r="M287" s="175"/>
    </row>
    <row r="288" spans="1:13" s="112" customFormat="1" ht="15.75" thickBot="1">
      <c r="A288" s="171"/>
      <c r="B288" s="172"/>
      <c r="C288" s="172"/>
      <c r="D288" s="174"/>
      <c r="E288" s="174"/>
      <c r="F288" s="128"/>
      <c r="G288" s="128"/>
      <c r="H288" s="155"/>
      <c r="I288" s="113"/>
      <c r="J288" s="155"/>
      <c r="K288" s="175"/>
      <c r="M288" s="175"/>
    </row>
    <row r="289" spans="1:13" s="112" customFormat="1" ht="15.75" thickTop="1">
      <c r="A289" s="171"/>
      <c r="B289" s="172"/>
      <c r="C289" s="172"/>
      <c r="D289" s="110"/>
      <c r="E289" s="110"/>
      <c r="F289" s="128"/>
      <c r="G289" s="128"/>
      <c r="H289" s="110"/>
      <c r="I289" s="113"/>
      <c r="J289" s="110"/>
      <c r="K289" s="175"/>
      <c r="M289" s="175"/>
    </row>
    <row r="290" spans="1:13" s="112" customFormat="1" ht="16.5" thickBot="1">
      <c r="A290" s="171"/>
      <c r="B290" s="172"/>
      <c r="C290" s="172"/>
      <c r="D290" s="124"/>
      <c r="E290" s="124"/>
      <c r="F290" s="167"/>
      <c r="G290" s="167"/>
      <c r="H290" s="155"/>
      <c r="I290" s="113"/>
      <c r="J290" s="155"/>
      <c r="K290" s="175"/>
      <c r="M290" s="175"/>
    </row>
    <row r="291" spans="1:13" s="112" customFormat="1" ht="15.75" thickTop="1">
      <c r="A291" s="171"/>
      <c r="B291" s="172"/>
      <c r="C291" s="172"/>
      <c r="D291" s="124"/>
      <c r="E291" s="124"/>
      <c r="F291" s="168"/>
      <c r="G291" s="168"/>
      <c r="H291" s="110"/>
      <c r="I291" s="113"/>
      <c r="J291" s="110"/>
      <c r="K291" s="175"/>
      <c r="M291" s="175"/>
    </row>
    <row r="292" spans="1:13" s="112" customFormat="1">
      <c r="K292" s="175"/>
      <c r="M292" s="175"/>
    </row>
    <row r="293" spans="1:13" s="112" customFormat="1">
      <c r="K293" s="175"/>
      <c r="M293" s="175"/>
    </row>
    <row r="294" spans="1:13" s="112" customFormat="1">
      <c r="K294" s="175"/>
      <c r="M294" s="175"/>
    </row>
    <row r="295" spans="1:13" s="112" customFormat="1">
      <c r="K295" s="175"/>
      <c r="M295" s="175"/>
    </row>
    <row r="296" spans="1:13" s="112" customFormat="1">
      <c r="K296" s="175"/>
      <c r="M296" s="175"/>
    </row>
    <row r="297" spans="1:13" s="112" customFormat="1">
      <c r="K297" s="175"/>
      <c r="M297" s="175"/>
    </row>
    <row r="298" spans="1:13" s="112" customFormat="1">
      <c r="K298" s="175"/>
      <c r="M298" s="175"/>
    </row>
    <row r="299" spans="1:13" s="112" customFormat="1">
      <c r="K299" s="175"/>
      <c r="M299" s="175"/>
    </row>
    <row r="300" spans="1:13" s="112" customFormat="1">
      <c r="K300" s="175"/>
      <c r="M300" s="175"/>
    </row>
    <row r="301" spans="1:13" s="112" customFormat="1">
      <c r="K301" s="175"/>
      <c r="M301" s="175"/>
    </row>
    <row r="302" spans="1:13" s="112" customFormat="1">
      <c r="K302" s="175"/>
      <c r="M302" s="175"/>
    </row>
  </sheetData>
  <mergeCells count="3">
    <mergeCell ref="H135:I135"/>
    <mergeCell ref="H4:I4"/>
    <mergeCell ref="A4:B4"/>
  </mergeCells>
  <phoneticPr fontId="1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QQ2022"/>
  <sheetViews>
    <sheetView topLeftCell="A229" zoomScale="70" zoomScaleNormal="70" workbookViewId="0">
      <selection activeCell="A243" sqref="A243"/>
    </sheetView>
  </sheetViews>
  <sheetFormatPr defaultRowHeight="15"/>
  <cols>
    <col min="1" max="1" width="13.33203125" style="200" customWidth="1"/>
    <col min="2" max="2" width="12.6640625" style="200" customWidth="1"/>
    <col min="3" max="3" width="8.6640625" style="200" customWidth="1"/>
    <col min="4" max="4" width="1.21875" style="200" customWidth="1"/>
    <col min="5" max="5" width="39.44140625" style="200" customWidth="1"/>
    <col min="6" max="6" width="2" style="200" customWidth="1"/>
    <col min="7" max="7" width="3.88671875" style="210" customWidth="1"/>
    <col min="8" max="8" width="1.44140625" style="200" customWidth="1"/>
    <col min="9" max="9" width="15.21875" style="200" customWidth="1"/>
    <col min="10" max="10" width="2.88671875" style="200" customWidth="1"/>
    <col min="11" max="11" width="13.77734375" style="200" bestFit="1" customWidth="1"/>
    <col min="12" max="12" width="1.6640625" style="200" customWidth="1"/>
    <col min="13" max="13" width="13.33203125" style="200" bestFit="1" customWidth="1"/>
    <col min="14" max="14" width="1.21875" style="200" customWidth="1"/>
    <col min="15" max="15" width="12.5546875" style="200" bestFit="1" customWidth="1"/>
    <col min="16" max="16" width="1.21875" style="200" customWidth="1"/>
    <col min="17" max="17" width="12.5546875" style="200" bestFit="1" customWidth="1"/>
    <col min="18" max="18" width="1.44140625" style="200" customWidth="1"/>
    <col min="19" max="19" width="13" style="200" customWidth="1"/>
    <col min="20" max="20" width="1.77734375" style="200" customWidth="1"/>
    <col min="21" max="21" width="12.5546875" style="200" bestFit="1" customWidth="1"/>
    <col min="22" max="22" width="2.109375" style="200" customWidth="1"/>
    <col min="23" max="23" width="13.33203125" style="200" bestFit="1" customWidth="1"/>
    <col min="24" max="24" width="1.6640625" style="200" customWidth="1"/>
    <col min="25" max="25" width="12.44140625" style="200" bestFit="1" customWidth="1"/>
    <col min="26" max="26" width="1.44140625" style="200" customWidth="1"/>
    <col min="27" max="27" width="12.21875" style="200" bestFit="1" customWidth="1"/>
    <col min="28" max="28" width="0.77734375" style="200" customWidth="1"/>
    <col min="29" max="29" width="12.109375" style="200" customWidth="1"/>
    <col min="30" max="30" width="1.44140625" style="200" customWidth="1"/>
    <col min="31" max="31" width="11.21875" style="200" customWidth="1"/>
    <col min="32" max="32" width="1.6640625" style="200" customWidth="1"/>
    <col min="33" max="33" width="11.44140625" style="200" customWidth="1"/>
    <col min="34" max="34" width="2.5546875" style="200" customWidth="1"/>
    <col min="35" max="35" width="15.44140625" style="200" bestFit="1" customWidth="1"/>
    <col min="36" max="37" width="8.88671875" style="200"/>
  </cols>
  <sheetData>
    <row r="1" spans="1:38">
      <c r="A1" s="95"/>
      <c r="B1" s="199"/>
      <c r="H1" s="201"/>
      <c r="I1" s="202" t="s">
        <v>277</v>
      </c>
      <c r="J1" s="203"/>
      <c r="L1" s="201"/>
    </row>
    <row r="3" spans="1:38" ht="15.75">
      <c r="C3" s="321" t="s">
        <v>635</v>
      </c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</row>
    <row r="4" spans="1:38" ht="15.75">
      <c r="C4" s="10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102"/>
      <c r="AE4" s="322"/>
      <c r="AF4" s="322"/>
      <c r="AG4" s="322"/>
    </row>
    <row r="5" spans="1:38" ht="15.75">
      <c r="C5" s="321" t="s">
        <v>637</v>
      </c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321"/>
      <c r="V5" s="321"/>
      <c r="W5" s="321"/>
      <c r="X5" s="321"/>
      <c r="Y5" s="321"/>
      <c r="Z5" s="321"/>
      <c r="AA5" s="321"/>
      <c r="AB5" s="321"/>
      <c r="AC5" s="321"/>
      <c r="AD5" s="321"/>
      <c r="AE5" s="321"/>
      <c r="AF5" s="321"/>
      <c r="AG5" s="321"/>
    </row>
    <row r="6" spans="1:38" ht="15.75">
      <c r="C6" s="321" t="s">
        <v>600</v>
      </c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</row>
    <row r="7" spans="1:38" ht="7.15" customHeight="1"/>
    <row r="8" spans="1:38"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</row>
    <row r="9" spans="1:38" ht="15.75">
      <c r="I9" s="34"/>
      <c r="J9" s="47"/>
      <c r="K9" s="826" t="s">
        <v>254</v>
      </c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47"/>
      <c r="W9" s="181" t="s">
        <v>255</v>
      </c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47"/>
      <c r="AI9" s="34"/>
      <c r="AJ9" s="34"/>
      <c r="AK9" s="34"/>
      <c r="AL9" s="34"/>
    </row>
    <row r="10" spans="1:38" ht="15.75">
      <c r="C10" s="201"/>
      <c r="D10" s="201"/>
      <c r="E10" s="201"/>
      <c r="G10" s="52" t="s">
        <v>186</v>
      </c>
      <c r="I10" s="49" t="s">
        <v>216</v>
      </c>
      <c r="J10" s="34"/>
      <c r="K10" s="47"/>
      <c r="L10" s="47"/>
      <c r="M10" s="49"/>
      <c r="N10" s="49"/>
      <c r="O10" s="49"/>
      <c r="P10" s="49"/>
      <c r="Q10" s="49"/>
      <c r="R10" s="47"/>
      <c r="S10" s="49"/>
      <c r="T10" s="49"/>
      <c r="U10" s="49"/>
      <c r="V10" s="34"/>
      <c r="W10" s="47"/>
      <c r="X10" s="47"/>
      <c r="Y10" s="49"/>
      <c r="Z10" s="49"/>
      <c r="AA10" s="49"/>
      <c r="AB10" s="49"/>
      <c r="AC10" s="49"/>
      <c r="AD10" s="47"/>
      <c r="AE10" s="49"/>
      <c r="AF10" s="49"/>
      <c r="AG10" s="49"/>
      <c r="AH10" s="47"/>
      <c r="AI10" s="34"/>
      <c r="AJ10" s="34"/>
      <c r="AK10" s="34"/>
      <c r="AL10" s="34"/>
    </row>
    <row r="11" spans="1:38" ht="15.75">
      <c r="B11" s="201"/>
      <c r="C11" s="826" t="s">
        <v>261</v>
      </c>
      <c r="D11" s="826"/>
      <c r="E11" s="826"/>
      <c r="F11" s="201"/>
      <c r="G11" s="48" t="s">
        <v>276</v>
      </c>
      <c r="H11" s="201"/>
      <c r="I11" s="48" t="s">
        <v>171</v>
      </c>
      <c r="J11" s="47"/>
      <c r="K11" s="48" t="s">
        <v>322</v>
      </c>
      <c r="L11" s="34"/>
      <c r="M11" s="48" t="s">
        <v>318</v>
      </c>
      <c r="N11" s="47"/>
      <c r="O11" s="48" t="s">
        <v>319</v>
      </c>
      <c r="P11" s="49"/>
      <c r="Q11" s="48" t="s">
        <v>320</v>
      </c>
      <c r="R11" s="34"/>
      <c r="S11" s="48" t="s">
        <v>468</v>
      </c>
      <c r="T11" s="49"/>
      <c r="U11" s="383" t="s">
        <v>427</v>
      </c>
      <c r="V11" s="34"/>
      <c r="W11" s="48" t="s">
        <v>322</v>
      </c>
      <c r="X11" s="34"/>
      <c r="Y11" s="48" t="s">
        <v>318</v>
      </c>
      <c r="Z11" s="47"/>
      <c r="AA11" s="48" t="s">
        <v>319</v>
      </c>
      <c r="AB11" s="49"/>
      <c r="AC11" s="48" t="s">
        <v>320</v>
      </c>
      <c r="AD11" s="34"/>
      <c r="AE11" s="48" t="s">
        <v>468</v>
      </c>
      <c r="AF11" s="49"/>
      <c r="AG11" s="383" t="s">
        <v>427</v>
      </c>
      <c r="AH11" s="34"/>
      <c r="AI11" s="34"/>
      <c r="AJ11" s="34"/>
      <c r="AK11" s="34"/>
      <c r="AL11" s="34"/>
    </row>
    <row r="12" spans="1:38" ht="15.75">
      <c r="C12" s="827">
        <v>-1</v>
      </c>
      <c r="D12" s="827"/>
      <c r="E12" s="827"/>
      <c r="F12" s="34"/>
      <c r="G12" s="53">
        <v>-2</v>
      </c>
      <c r="H12" s="34"/>
      <c r="I12" s="53">
        <v>-3</v>
      </c>
      <c r="J12" s="34"/>
      <c r="K12" s="53">
        <v>-4</v>
      </c>
      <c r="L12" s="34"/>
      <c r="M12" s="53">
        <v>-5</v>
      </c>
      <c r="N12" s="34"/>
      <c r="O12" s="53">
        <v>-6</v>
      </c>
      <c r="P12" s="53"/>
      <c r="Q12" s="53">
        <f>+O12-1</f>
        <v>-7</v>
      </c>
      <c r="R12" s="53"/>
      <c r="S12" s="53">
        <f>+Q12-1</f>
        <v>-8</v>
      </c>
      <c r="T12" s="53"/>
      <c r="U12" s="53">
        <f>S12-1</f>
        <v>-9</v>
      </c>
      <c r="V12" s="53"/>
      <c r="W12" s="53">
        <f t="shared" ref="W12" si="0">+U12-1</f>
        <v>-10</v>
      </c>
      <c r="X12" s="53"/>
      <c r="Y12" s="53">
        <f t="shared" ref="Y12" si="1">+W12-1</f>
        <v>-11</v>
      </c>
      <c r="Z12" s="53"/>
      <c r="AA12" s="53">
        <f t="shared" ref="AA12" si="2">+Y12-1</f>
        <v>-12</v>
      </c>
      <c r="AB12" s="53"/>
      <c r="AC12" s="53">
        <f t="shared" ref="AC12" si="3">+AA12-1</f>
        <v>-13</v>
      </c>
      <c r="AD12" s="53"/>
      <c r="AE12" s="53">
        <f t="shared" ref="AE12" si="4">+AC12-1</f>
        <v>-14</v>
      </c>
      <c r="AF12" s="53"/>
      <c r="AG12" s="53">
        <f t="shared" ref="AG12" si="5">+AE12-1</f>
        <v>-15</v>
      </c>
      <c r="AH12" s="53"/>
      <c r="AI12" s="204"/>
    </row>
    <row r="13" spans="1:38">
      <c r="E13" s="276"/>
      <c r="F13" s="276"/>
      <c r="G13" s="325"/>
      <c r="H13" s="276"/>
      <c r="I13" s="276"/>
    </row>
    <row r="14" spans="1:38" ht="15.75">
      <c r="C14" s="34" t="s">
        <v>239</v>
      </c>
      <c r="E14" s="276"/>
      <c r="F14" s="276"/>
      <c r="G14" s="325"/>
      <c r="H14" s="276"/>
      <c r="I14" s="276"/>
      <c r="W14" s="200" t="s">
        <v>253</v>
      </c>
    </row>
    <row r="15" spans="1:38">
      <c r="E15" s="276"/>
      <c r="F15" s="276"/>
      <c r="G15" s="325"/>
      <c r="H15" s="276"/>
      <c r="I15" s="276"/>
    </row>
    <row r="16" spans="1:38" ht="15.75">
      <c r="C16" s="34" t="s">
        <v>228</v>
      </c>
      <c r="E16" s="276"/>
      <c r="F16" s="276"/>
      <c r="G16" s="325"/>
      <c r="H16" s="276"/>
      <c r="I16" s="276"/>
    </row>
    <row r="17" spans="1:37" ht="3" customHeight="1">
      <c r="E17" s="276"/>
      <c r="F17" s="276"/>
      <c r="G17" s="325"/>
      <c r="H17" s="276"/>
      <c r="I17" s="276"/>
    </row>
    <row r="18" spans="1:37">
      <c r="E18" s="650" t="s">
        <v>46</v>
      </c>
      <c r="F18" s="276"/>
      <c r="G18" s="325"/>
      <c r="H18" s="276"/>
      <c r="I18" s="276"/>
    </row>
    <row r="19" spans="1:37">
      <c r="C19" s="120">
        <v>710</v>
      </c>
      <c r="E19" s="324" t="s">
        <v>57</v>
      </c>
      <c r="F19" s="276"/>
      <c r="G19" s="325">
        <v>1</v>
      </c>
      <c r="H19" s="276"/>
      <c r="I19" s="307">
        <f>+Linkin!H7</f>
        <v>0</v>
      </c>
      <c r="K19" s="207">
        <f>ROUND(VLOOKUP($G19,factors,+K$318)*$I19,0)</f>
        <v>0</v>
      </c>
      <c r="M19" s="207">
        <f>ROUND(VLOOKUP($G19,factors,+M$318)*$I19,0)</f>
        <v>0</v>
      </c>
      <c r="N19" s="207"/>
      <c r="O19" s="207">
        <f>ROUND(VLOOKUP($G19,factors,+O$318)*$I19,0)</f>
        <v>0</v>
      </c>
      <c r="P19" s="207"/>
      <c r="Q19" s="207">
        <f>ROUND(VLOOKUP($G19,factors,+Q$318)*$I19,0)</f>
        <v>0</v>
      </c>
      <c r="R19" s="207"/>
      <c r="S19" s="206">
        <f>ROUND(VLOOKUP($G19,factors,+S$318)*$I19,0)</f>
        <v>0</v>
      </c>
      <c r="T19" s="206"/>
      <c r="U19" s="206">
        <f>ROUND(VLOOKUP($G19,factors,+U$318)*$I19,0)</f>
        <v>0</v>
      </c>
      <c r="V19" s="206"/>
      <c r="W19" s="206">
        <f>ROUND(VLOOKUP($G19,factors,+W$318)*$I19,0)</f>
        <v>0</v>
      </c>
      <c r="X19" s="206"/>
      <c r="Y19" s="206">
        <f>ROUND(VLOOKUP($G19,factors,+Y$318)*$I19,0)</f>
        <v>0</v>
      </c>
      <c r="Z19" s="206"/>
      <c r="AA19" s="206">
        <f>ROUND(VLOOKUP($G19,factors,+AA$318)*$I19,0)</f>
        <v>0</v>
      </c>
      <c r="AB19" s="206"/>
      <c r="AC19" s="206">
        <f>ROUND(VLOOKUP($G19,factors,+AC$318)*$I19,0)</f>
        <v>0</v>
      </c>
      <c r="AD19" s="206"/>
      <c r="AE19" s="206">
        <f>ROUND(VLOOKUP($G19,factors,+AE$318)*$I19,0)</f>
        <v>0</v>
      </c>
      <c r="AF19" s="206"/>
      <c r="AG19" s="206">
        <f>ROUND(VLOOKUP($G19,factors,+AG$318)*$I19,0)</f>
        <v>0</v>
      </c>
      <c r="AI19" s="208">
        <f>SUM(K19:AG19)-I19</f>
        <v>0</v>
      </c>
    </row>
    <row r="20" spans="1:37">
      <c r="C20" s="120">
        <v>717</v>
      </c>
      <c r="E20" s="324" t="s">
        <v>475</v>
      </c>
      <c r="F20" s="276"/>
      <c r="G20" s="325">
        <v>1</v>
      </c>
      <c r="H20" s="276"/>
      <c r="I20" s="307">
        <f>+Linkin!H8</f>
        <v>0</v>
      </c>
      <c r="K20" s="207">
        <f>ROUND(VLOOKUP($G20,factors,+K$318)*$I20,0)</f>
        <v>0</v>
      </c>
      <c r="M20" s="207">
        <f>ROUND(VLOOKUP($G20,factors,+M$318)*$I20,0)</f>
        <v>0</v>
      </c>
      <c r="N20" s="207"/>
      <c r="O20" s="207">
        <f>ROUND(VLOOKUP($G20,factors,+O$318)*$I20,0)</f>
        <v>0</v>
      </c>
      <c r="P20" s="207"/>
      <c r="Q20" s="207">
        <f>ROUND(VLOOKUP($G20,factors,+Q$318)*$I20,0)</f>
        <v>0</v>
      </c>
      <c r="R20" s="207"/>
      <c r="S20" s="206">
        <f>ROUND(VLOOKUP($G20,factors,+S$318)*$I20,0)</f>
        <v>0</v>
      </c>
      <c r="T20" s="206"/>
      <c r="U20" s="206">
        <f>ROUND(VLOOKUP($G20,factors,+U$318)*$I20,0)</f>
        <v>0</v>
      </c>
      <c r="V20" s="206"/>
      <c r="W20" s="206">
        <f>ROUND(VLOOKUP($G20,factors,+W$318)*$I20,0)</f>
        <v>0</v>
      </c>
      <c r="X20" s="206"/>
      <c r="Y20" s="206">
        <f>ROUND(VLOOKUP($G20,factors,+Y$318)*$I20,0)</f>
        <v>0</v>
      </c>
      <c r="Z20" s="206"/>
      <c r="AA20" s="206">
        <f>ROUND(VLOOKUP($G20,factors,+AA$318)*$I20,0)</f>
        <v>0</v>
      </c>
      <c r="AB20" s="206"/>
      <c r="AC20" s="206">
        <f>ROUND(VLOOKUP($G20,factors,+AC$318)*$I20,0)</f>
        <v>0</v>
      </c>
      <c r="AD20" s="206"/>
      <c r="AE20" s="206">
        <f>ROUND(VLOOKUP($G20,factors,+AE$318)*$I20,0)</f>
        <v>0</v>
      </c>
      <c r="AF20" s="206"/>
      <c r="AG20" s="206">
        <f>ROUND(VLOOKUP($G20,factors,+AG$318)*$I20,0)</f>
        <v>0</v>
      </c>
      <c r="AI20" s="208">
        <f>SUM(K20:AG20)-I20</f>
        <v>0</v>
      </c>
    </row>
    <row r="21" spans="1:37">
      <c r="C21" s="120"/>
      <c r="E21" s="324"/>
      <c r="F21" s="276"/>
      <c r="G21" s="325"/>
      <c r="H21" s="276"/>
      <c r="I21" s="307"/>
      <c r="K21" s="207"/>
      <c r="M21" s="207"/>
      <c r="N21" s="207"/>
      <c r="O21" s="207"/>
      <c r="P21" s="207"/>
      <c r="Q21" s="207"/>
      <c r="R21" s="207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I21" s="208"/>
    </row>
    <row r="22" spans="1:37">
      <c r="B22" s="205"/>
      <c r="C22" s="200" t="s">
        <v>108</v>
      </c>
      <c r="E22" s="324" t="s">
        <v>476</v>
      </c>
      <c r="F22" s="276"/>
      <c r="G22" s="325">
        <v>1</v>
      </c>
      <c r="H22" s="276"/>
      <c r="I22" s="307">
        <f>+Linkin!H10</f>
        <v>0</v>
      </c>
      <c r="K22" s="207">
        <f>ROUND(VLOOKUP($G22,factors,+K$318)*$I22,0)</f>
        <v>0</v>
      </c>
      <c r="M22" s="207">
        <f>ROUND(VLOOKUP($G22,factors,+M$318)*$I22,0)</f>
        <v>0</v>
      </c>
      <c r="N22" s="207"/>
      <c r="O22" s="207">
        <f>ROUND(VLOOKUP($G22,factors,+O$318)*$I22,0)</f>
        <v>0</v>
      </c>
      <c r="P22" s="207"/>
      <c r="Q22" s="207">
        <f>ROUND(VLOOKUP($G22,factors,+Q$318)*$I22,0)</f>
        <v>0</v>
      </c>
      <c r="R22" s="207"/>
      <c r="S22" s="206">
        <f>ROUND(VLOOKUP($G22,factors,+S$318)*$I22,0)</f>
        <v>0</v>
      </c>
      <c r="T22" s="206"/>
      <c r="U22" s="206">
        <f>ROUND(VLOOKUP($G22,factors,+U$318)*$I22,0)</f>
        <v>0</v>
      </c>
      <c r="V22" s="206"/>
      <c r="W22" s="206">
        <f>ROUND(VLOOKUP($G22,factors,+W$318)*$I22,0)</f>
        <v>0</v>
      </c>
      <c r="X22" s="206"/>
      <c r="Y22" s="206">
        <f>ROUND(VLOOKUP($G22,factors,+Y$318)*$I22,0)</f>
        <v>0</v>
      </c>
      <c r="Z22" s="206"/>
      <c r="AA22" s="206">
        <f>ROUND(VLOOKUP($G22,factors,+AA$318)*$I22,0)</f>
        <v>0</v>
      </c>
      <c r="AB22" s="206"/>
      <c r="AC22" s="206">
        <f>ROUND(VLOOKUP($G22,factors,+AC$318)*$I22,0)</f>
        <v>0</v>
      </c>
      <c r="AD22" s="206"/>
      <c r="AE22" s="206">
        <f>ROUND(VLOOKUP($G22,factors,+AE$318)*$I22,0)</f>
        <v>0</v>
      </c>
      <c r="AF22" s="206"/>
      <c r="AG22" s="206">
        <f>ROUND(VLOOKUP($G22,factors,+AG$318)*$I22,0)</f>
        <v>0</v>
      </c>
      <c r="AI22" s="208">
        <f t="shared" ref="AI22:AI27" si="6">SUM(K22:AG22)-I22</f>
        <v>0</v>
      </c>
    </row>
    <row r="23" spans="1:37" s="54" customFormat="1">
      <c r="A23" s="200"/>
      <c r="B23" s="209"/>
      <c r="C23" s="210" t="s">
        <v>107</v>
      </c>
      <c r="D23" s="200"/>
      <c r="E23" s="324" t="s">
        <v>44</v>
      </c>
      <c r="F23" s="276"/>
      <c r="G23" s="325">
        <v>1</v>
      </c>
      <c r="H23" s="276"/>
      <c r="I23" s="307">
        <f>+Linkin!H11</f>
        <v>1442000</v>
      </c>
      <c r="J23" s="200"/>
      <c r="K23" s="212">
        <f>ROUND(VLOOKUP($G23,factors,+K$318)*$I23,0)</f>
        <v>1153023</v>
      </c>
      <c r="L23" s="200"/>
      <c r="M23" s="212">
        <f>ROUND(VLOOKUP($G23,factors,+M$318)*$I23,0)</f>
        <v>288977</v>
      </c>
      <c r="N23" s="207"/>
      <c r="O23" s="212">
        <f>ROUND(VLOOKUP($G23,factors,+O$318)*$I23,0)</f>
        <v>0</v>
      </c>
      <c r="P23" s="213"/>
      <c r="Q23" s="212">
        <f>ROUND(VLOOKUP($G23,factors,+Q$318)*$I23,0)</f>
        <v>0</v>
      </c>
      <c r="R23" s="207"/>
      <c r="S23" s="211">
        <f>ROUND(VLOOKUP($G23,factors,+S$318)*$I23,0)</f>
        <v>0</v>
      </c>
      <c r="T23" s="214"/>
      <c r="U23" s="211">
        <f>ROUND(VLOOKUP($G23,factors,+U$318)*$I23,0)</f>
        <v>0</v>
      </c>
      <c r="V23" s="206"/>
      <c r="W23" s="211">
        <f>ROUND(VLOOKUP($G23,factors,+W$318)*$I23,0)</f>
        <v>0</v>
      </c>
      <c r="X23" s="206"/>
      <c r="Y23" s="211">
        <f>ROUND(VLOOKUP($G23,factors,+Y$318)*$I23,0)</f>
        <v>0</v>
      </c>
      <c r="Z23" s="206"/>
      <c r="AA23" s="211">
        <f>ROUND(VLOOKUP($G23,factors,+AA$318)*$I23,0)</f>
        <v>0</v>
      </c>
      <c r="AB23" s="214"/>
      <c r="AC23" s="211">
        <f>ROUND(VLOOKUP($G23,factors,+AC$318)*$I23,0)</f>
        <v>0</v>
      </c>
      <c r="AD23" s="206"/>
      <c r="AE23" s="211">
        <f>ROUND(VLOOKUP($G23,factors,+AE$318)*$I23,0)</f>
        <v>0</v>
      </c>
      <c r="AF23" s="206"/>
      <c r="AG23" s="211">
        <f>ROUND(VLOOKUP($G23,factors,+AG$318)*$I23,0)</f>
        <v>0</v>
      </c>
      <c r="AH23" s="200"/>
      <c r="AI23" s="208">
        <f t="shared" si="6"/>
        <v>0</v>
      </c>
      <c r="AJ23" s="200"/>
      <c r="AK23" s="200"/>
    </row>
    <row r="24" spans="1:37">
      <c r="B24" s="206"/>
      <c r="C24" s="210" t="s">
        <v>218</v>
      </c>
      <c r="E24" s="276" t="s">
        <v>220</v>
      </c>
      <c r="F24" s="276"/>
      <c r="G24" s="325"/>
      <c r="H24" s="276"/>
      <c r="I24" s="651">
        <f>SUM(I19:I23)</f>
        <v>1442000</v>
      </c>
      <c r="K24" s="337">
        <f t="shared" ref="K24" si="7">SUM(K19:K23)</f>
        <v>1153023</v>
      </c>
      <c r="M24" s="337">
        <f t="shared" ref="M24" si="8">SUM(M19:M23)</f>
        <v>288977</v>
      </c>
      <c r="O24" s="337">
        <f t="shared" ref="O24" si="9">SUM(O19:O23)</f>
        <v>0</v>
      </c>
      <c r="Q24" s="337">
        <f t="shared" ref="Q24" si="10">SUM(Q19:Q23)</f>
        <v>0</v>
      </c>
      <c r="S24" s="337">
        <f t="shared" ref="S24:U24" si="11">SUM(S19:S23)</f>
        <v>0</v>
      </c>
      <c r="T24" s="214"/>
      <c r="U24" s="337">
        <f t="shared" si="11"/>
        <v>0</v>
      </c>
      <c r="W24" s="337">
        <f t="shared" ref="W24" si="12">SUM(W19:W23)</f>
        <v>0</v>
      </c>
      <c r="Y24" s="337">
        <f t="shared" ref="Y24" si="13">SUM(Y19:Y23)</f>
        <v>0</v>
      </c>
      <c r="AA24" s="337">
        <f t="shared" ref="AA24" si="14">SUM(AA19:AA23)</f>
        <v>0</v>
      </c>
      <c r="AC24" s="337">
        <f t="shared" ref="AC24:AG24" si="15">SUM(AC19:AC23)</f>
        <v>0</v>
      </c>
      <c r="AE24" s="337">
        <f t="shared" si="15"/>
        <v>0</v>
      </c>
      <c r="AG24" s="337">
        <f t="shared" si="15"/>
        <v>0</v>
      </c>
      <c r="AI24" s="208">
        <f t="shared" si="6"/>
        <v>0</v>
      </c>
    </row>
    <row r="25" spans="1:37">
      <c r="B25" s="206"/>
      <c r="C25" s="210"/>
      <c r="E25" s="276"/>
      <c r="F25" s="276"/>
      <c r="G25" s="325"/>
      <c r="H25" s="276"/>
      <c r="I25" s="361"/>
      <c r="K25" s="207"/>
      <c r="M25" s="207"/>
      <c r="O25" s="207"/>
      <c r="P25" s="207"/>
      <c r="Q25" s="207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I25" s="208">
        <f t="shared" si="6"/>
        <v>0</v>
      </c>
    </row>
    <row r="26" spans="1:37">
      <c r="B26" s="206"/>
      <c r="C26" s="210"/>
      <c r="E26" s="652" t="s">
        <v>379</v>
      </c>
      <c r="F26" s="276"/>
      <c r="G26" s="325"/>
      <c r="H26" s="276"/>
      <c r="I26" s="361"/>
      <c r="K26" s="207"/>
      <c r="M26" s="207"/>
      <c r="O26" s="207"/>
      <c r="P26" s="207"/>
      <c r="Q26" s="207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I26" s="208">
        <f t="shared" si="6"/>
        <v>0</v>
      </c>
    </row>
    <row r="27" spans="1:37">
      <c r="B27" s="206"/>
      <c r="C27" s="478" t="s">
        <v>370</v>
      </c>
      <c r="E27" s="324" t="s">
        <v>487</v>
      </c>
      <c r="F27" s="276"/>
      <c r="G27" s="325">
        <v>1</v>
      </c>
      <c r="H27" s="276"/>
      <c r="I27" s="483">
        <f>+Linkin!H15</f>
        <v>0</v>
      </c>
      <c r="K27" s="207">
        <f>ROUND(VLOOKUP($G27,factors,+K$318)*$I27,0)</f>
        <v>0</v>
      </c>
      <c r="M27" s="207">
        <f>ROUND(VLOOKUP($G27,factors,+M$318)*$I27,0)</f>
        <v>0</v>
      </c>
      <c r="N27" s="207"/>
      <c r="O27" s="207">
        <f>ROUND(VLOOKUP($G27,factors,+O$318)*$I27,0)</f>
        <v>0</v>
      </c>
      <c r="P27" s="207"/>
      <c r="Q27" s="207">
        <f>ROUND(VLOOKUP($G27,factors,+Q$318)*$I27,0)</f>
        <v>0</v>
      </c>
      <c r="R27" s="207"/>
      <c r="S27" s="206">
        <f>ROUND(VLOOKUP($G27,factors,+S$318)*$I27,0)</f>
        <v>0</v>
      </c>
      <c r="T27" s="206"/>
      <c r="U27" s="206">
        <f>ROUND(VLOOKUP($G27,factors,+U$318)*$I27,0)</f>
        <v>0</v>
      </c>
      <c r="V27" s="206"/>
      <c r="W27" s="206">
        <f>ROUND(VLOOKUP($G27,factors,+W$318)*$I27,0)</f>
        <v>0</v>
      </c>
      <c r="X27" s="206"/>
      <c r="Y27" s="206">
        <f>ROUND(VLOOKUP($G27,factors,+Y$318)*$I27,0)</f>
        <v>0</v>
      </c>
      <c r="Z27" s="206"/>
      <c r="AA27" s="206">
        <f>ROUND(VLOOKUP($G27,factors,+AA$318)*$I27,0)</f>
        <v>0</v>
      </c>
      <c r="AB27" s="206"/>
      <c r="AC27" s="206">
        <f>ROUND(VLOOKUP($G27,factors,+AC$318)*$I27,0)</f>
        <v>0</v>
      </c>
      <c r="AD27" s="206"/>
      <c r="AE27" s="206">
        <f>ROUND(VLOOKUP($G27,factors,+AE$318)*$I27,0)</f>
        <v>0</v>
      </c>
      <c r="AF27" s="206"/>
      <c r="AG27" s="206">
        <f>ROUND(VLOOKUP($G27,factors,+AG$318)*$I27,0)</f>
        <v>0</v>
      </c>
      <c r="AI27" s="208">
        <f t="shared" si="6"/>
        <v>0</v>
      </c>
    </row>
    <row r="28" spans="1:37">
      <c r="B28" s="206"/>
      <c r="C28" s="478" t="s">
        <v>371</v>
      </c>
      <c r="E28" s="324" t="s">
        <v>488</v>
      </c>
      <c r="F28" s="276"/>
      <c r="G28" s="325">
        <v>1</v>
      </c>
      <c r="H28" s="276"/>
      <c r="I28" s="483">
        <f>+Linkin!H16</f>
        <v>0</v>
      </c>
      <c r="K28" s="207"/>
      <c r="M28" s="207"/>
      <c r="N28" s="207"/>
      <c r="O28" s="207"/>
      <c r="P28" s="207"/>
      <c r="Q28" s="207"/>
      <c r="R28" s="207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I28" s="208"/>
    </row>
    <row r="29" spans="1:37">
      <c r="B29" s="206"/>
      <c r="C29" s="478" t="s">
        <v>479</v>
      </c>
      <c r="E29" s="324" t="s">
        <v>477</v>
      </c>
      <c r="F29" s="276"/>
      <c r="G29" s="325">
        <v>1</v>
      </c>
      <c r="H29" s="276"/>
      <c r="I29" s="483">
        <f>+Linkin!H17</f>
        <v>0</v>
      </c>
      <c r="K29" s="207"/>
      <c r="M29" s="207"/>
      <c r="N29" s="207"/>
      <c r="O29" s="207"/>
      <c r="P29" s="207"/>
      <c r="Q29" s="207"/>
      <c r="R29" s="207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I29" s="208"/>
    </row>
    <row r="30" spans="1:37">
      <c r="B30" s="206"/>
      <c r="C30" s="478" t="s">
        <v>480</v>
      </c>
      <c r="E30" s="324" t="s">
        <v>489</v>
      </c>
      <c r="F30" s="276"/>
      <c r="G30" s="325">
        <v>1</v>
      </c>
      <c r="H30" s="276"/>
      <c r="I30" s="479">
        <f>+Linkin!H18</f>
        <v>0</v>
      </c>
      <c r="K30" s="212">
        <f>ROUND(VLOOKUP($G30,factors,+K$318)*$I30,0)</f>
        <v>0</v>
      </c>
      <c r="M30" s="212">
        <f>ROUND(VLOOKUP($G30,factors,+M$318)*$I30,0)</f>
        <v>0</v>
      </c>
      <c r="O30" s="212">
        <f>ROUND(VLOOKUP($G30,factors,+O$318)*$I30,0)</f>
        <v>0</v>
      </c>
      <c r="Q30" s="212">
        <f>ROUND(VLOOKUP($G30,factors,+Q$318)*$I30,0)</f>
        <v>0</v>
      </c>
      <c r="S30" s="212">
        <f>ROUND(VLOOKUP($G30,factors,+S$318)*$I30,0)</f>
        <v>0</v>
      </c>
      <c r="T30" s="213"/>
      <c r="U30" s="212">
        <f>ROUND(VLOOKUP($G30,factors,+U$318)*$I30,0)</f>
        <v>0</v>
      </c>
      <c r="W30" s="212">
        <f>ROUND(VLOOKUP($G30,factors,+W$318)*$I30,0)</f>
        <v>0</v>
      </c>
      <c r="Y30" s="212">
        <f>ROUND(VLOOKUP($G30,factors,+Y$318)*$I30,0)</f>
        <v>0</v>
      </c>
      <c r="AA30" s="212">
        <f>ROUND(VLOOKUP($G30,factors,+AA$318)*$I30,0)</f>
        <v>0</v>
      </c>
      <c r="AC30" s="212">
        <f>ROUND(VLOOKUP($G30,factors,+AC$318)*$I30,0)</f>
        <v>0</v>
      </c>
      <c r="AE30" s="212">
        <f>ROUND(VLOOKUP($G30,factors,+AE$318)*$I30,0)</f>
        <v>0</v>
      </c>
      <c r="AG30" s="212">
        <f>ROUND(VLOOKUP($G30,factors,+AG$318)*$I30,0)</f>
        <v>0</v>
      </c>
      <c r="AI30" s="208">
        <f t="shared" ref="AI30:AI46" si="16">SUM(K30:AG30)-I30</f>
        <v>0</v>
      </c>
    </row>
    <row r="31" spans="1:37">
      <c r="B31" s="206"/>
      <c r="C31" s="210"/>
      <c r="E31" s="276" t="s">
        <v>380</v>
      </c>
      <c r="F31" s="276"/>
      <c r="G31" s="325"/>
      <c r="H31" s="276"/>
      <c r="I31" s="483">
        <f>SUM(I27:I30)</f>
        <v>0</v>
      </c>
      <c r="K31" s="214">
        <f>SUM(K27:K30)</f>
        <v>0</v>
      </c>
      <c r="M31" s="214">
        <f>SUM(M27:M30)</f>
        <v>0</v>
      </c>
      <c r="O31" s="214">
        <f>SUM(O27:O30)</f>
        <v>0</v>
      </c>
      <c r="Q31" s="214">
        <f>SUM(Q27:Q30)</f>
        <v>0</v>
      </c>
      <c r="S31" s="214">
        <f>SUM(S27:S30)</f>
        <v>0</v>
      </c>
      <c r="T31" s="214"/>
      <c r="U31" s="214">
        <f>SUM(U27:U30)</f>
        <v>0</v>
      </c>
      <c r="W31" s="214">
        <f>SUM(W27:W30)</f>
        <v>0</v>
      </c>
      <c r="Y31" s="214">
        <f>SUM(Y27:Y30)</f>
        <v>0</v>
      </c>
      <c r="AA31" s="214">
        <f>SUM(AA27:AA30)</f>
        <v>0</v>
      </c>
      <c r="AC31" s="214">
        <f>SUM(AC27:AC30)</f>
        <v>0</v>
      </c>
      <c r="AE31" s="214">
        <f t="shared" ref="AE31" si="17">SUM(AE27:AE30)</f>
        <v>0</v>
      </c>
      <c r="AG31" s="214">
        <f t="shared" ref="AG31" si="18">SUM(AG27:AG30)</f>
        <v>0</v>
      </c>
      <c r="AI31" s="208">
        <f t="shared" si="16"/>
        <v>0</v>
      </c>
    </row>
    <row r="32" spans="1:37">
      <c r="B32" s="206"/>
      <c r="C32" s="210"/>
      <c r="E32" s="276"/>
      <c r="F32" s="276"/>
      <c r="G32" s="325"/>
      <c r="H32" s="276"/>
      <c r="I32" s="361"/>
      <c r="K32" s="207"/>
      <c r="M32" s="207"/>
      <c r="O32" s="207"/>
      <c r="P32" s="207"/>
      <c r="Q32" s="207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I32" s="208">
        <f t="shared" si="16"/>
        <v>0</v>
      </c>
    </row>
    <row r="33" spans="1:37">
      <c r="A33" s="552" t="s">
        <v>559</v>
      </c>
      <c r="B33" s="397"/>
      <c r="C33" s="210" t="s">
        <v>218</v>
      </c>
      <c r="E33" s="652" t="s">
        <v>229</v>
      </c>
      <c r="F33" s="276"/>
      <c r="G33" s="325"/>
      <c r="H33" s="276"/>
      <c r="I33" s="361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I33" s="208">
        <f t="shared" si="16"/>
        <v>0</v>
      </c>
    </row>
    <row r="34" spans="1:37" s="54" customFormat="1" ht="15.75" thickBot="1">
      <c r="A34" s="552" t="s">
        <v>560</v>
      </c>
      <c r="B34" s="553">
        <v>0</v>
      </c>
      <c r="C34" s="514" t="s">
        <v>486</v>
      </c>
      <c r="D34" s="200"/>
      <c r="E34" s="324" t="s">
        <v>482</v>
      </c>
      <c r="F34" s="276"/>
      <c r="G34" s="325">
        <v>1</v>
      </c>
      <c r="H34" s="276"/>
      <c r="I34" s="483">
        <f>+Linkin!H22</f>
        <v>0</v>
      </c>
      <c r="J34" s="200"/>
      <c r="K34" s="207">
        <f t="shared" ref="K34:K40" si="19">ROUND(VLOOKUP($G34,factors,+K$318)*$I34,0)</f>
        <v>0</v>
      </c>
      <c r="L34" s="200"/>
      <c r="M34" s="207">
        <f t="shared" ref="M34:M40" si="20">ROUND(VLOOKUP($G34,factors,+M$318)*$I34,0)</f>
        <v>0</v>
      </c>
      <c r="N34" s="207"/>
      <c r="O34" s="207">
        <f t="shared" ref="O34:O40" si="21">ROUND(VLOOKUP($G34,factors,+O$318)*$I34,0)</f>
        <v>0</v>
      </c>
      <c r="P34" s="207"/>
      <c r="Q34" s="207">
        <f t="shared" ref="Q34:Q40" si="22">ROUND(VLOOKUP($G34,factors,+Q$318)*$I34,0)</f>
        <v>0</v>
      </c>
      <c r="R34" s="207"/>
      <c r="S34" s="206">
        <f t="shared" ref="S34:S40" si="23">ROUND(VLOOKUP($G34,factors,+S$318)*$I34,0)</f>
        <v>0</v>
      </c>
      <c r="T34" s="206"/>
      <c r="U34" s="206">
        <f t="shared" ref="U34:U40" si="24">ROUND(VLOOKUP($G34,factors,+U$318)*$I34,0)</f>
        <v>0</v>
      </c>
      <c r="V34" s="206"/>
      <c r="W34" s="206">
        <f t="shared" ref="W34:W40" si="25">ROUND(VLOOKUP($G34,factors,+W$318)*$I34,0)</f>
        <v>0</v>
      </c>
      <c r="X34" s="206"/>
      <c r="Y34" s="206">
        <f t="shared" ref="Y34:Y40" si="26">ROUND(VLOOKUP($G34,factors,+Y$318)*$I34,0)</f>
        <v>0</v>
      </c>
      <c r="Z34" s="206"/>
      <c r="AA34" s="206">
        <f t="shared" ref="AA34:AA40" si="27">ROUND(VLOOKUP($G34,factors,+AA$318)*$I34,0)</f>
        <v>0</v>
      </c>
      <c r="AB34" s="206"/>
      <c r="AC34" s="206">
        <f t="shared" ref="AC34:AC40" si="28">ROUND(VLOOKUP($G34,factors,+AC$318)*$I34,0)</f>
        <v>0</v>
      </c>
      <c r="AD34" s="206"/>
      <c r="AE34" s="206">
        <f t="shared" ref="AE34:AE40" si="29">ROUND(VLOOKUP($G34,factors,+AE$318)*$I34,0)</f>
        <v>0</v>
      </c>
      <c r="AF34" s="206"/>
      <c r="AG34" s="206">
        <f t="shared" ref="AG34:AG40" si="30">ROUND(VLOOKUP($G34,factors,+AG$318)*$I34,0)</f>
        <v>0</v>
      </c>
      <c r="AH34" s="200"/>
      <c r="AI34" s="208">
        <f t="shared" si="16"/>
        <v>0</v>
      </c>
      <c r="AJ34" s="200"/>
      <c r="AK34" s="200"/>
    </row>
    <row r="35" spans="1:37" s="54" customFormat="1" ht="15.75" thickTop="1">
      <c r="A35" s="200"/>
      <c r="B35" s="206"/>
      <c r="C35" s="515">
        <v>804</v>
      </c>
      <c r="D35" s="200"/>
      <c r="E35" s="324" t="s">
        <v>50</v>
      </c>
      <c r="F35" s="276"/>
      <c r="G35" s="325">
        <v>1</v>
      </c>
      <c r="H35" s="276"/>
      <c r="I35" s="483">
        <f>+Linkin!H23*B34</f>
        <v>0</v>
      </c>
      <c r="J35" s="200"/>
      <c r="K35" s="207">
        <f t="shared" si="19"/>
        <v>0</v>
      </c>
      <c r="L35" s="200"/>
      <c r="M35" s="207">
        <f t="shared" si="20"/>
        <v>0</v>
      </c>
      <c r="N35" s="207"/>
      <c r="O35" s="207">
        <f t="shared" si="21"/>
        <v>0</v>
      </c>
      <c r="P35" s="207"/>
      <c r="Q35" s="207">
        <f t="shared" si="22"/>
        <v>0</v>
      </c>
      <c r="R35" s="207"/>
      <c r="S35" s="206">
        <f t="shared" si="23"/>
        <v>0</v>
      </c>
      <c r="T35" s="206"/>
      <c r="U35" s="206">
        <f t="shared" si="24"/>
        <v>0</v>
      </c>
      <c r="V35" s="206"/>
      <c r="W35" s="206">
        <f t="shared" si="25"/>
        <v>0</v>
      </c>
      <c r="X35" s="206"/>
      <c r="Y35" s="206">
        <f t="shared" si="26"/>
        <v>0</v>
      </c>
      <c r="Z35" s="206"/>
      <c r="AA35" s="206">
        <f t="shared" si="27"/>
        <v>0</v>
      </c>
      <c r="AB35" s="206"/>
      <c r="AC35" s="206">
        <f t="shared" si="28"/>
        <v>0</v>
      </c>
      <c r="AD35" s="206"/>
      <c r="AE35" s="206">
        <f t="shared" si="29"/>
        <v>0</v>
      </c>
      <c r="AF35" s="206"/>
      <c r="AG35" s="206">
        <f t="shared" si="30"/>
        <v>0</v>
      </c>
      <c r="AH35" s="200"/>
      <c r="AI35" s="208">
        <f t="shared" si="16"/>
        <v>0</v>
      </c>
      <c r="AJ35" s="200"/>
      <c r="AK35" s="200"/>
    </row>
    <row r="36" spans="1:37" s="54" customFormat="1">
      <c r="A36" s="200"/>
      <c r="B36" s="206"/>
      <c r="C36" s="515">
        <v>805.1</v>
      </c>
      <c r="D36" s="200"/>
      <c r="E36" s="324" t="s">
        <v>52</v>
      </c>
      <c r="F36" s="276"/>
      <c r="G36" s="325">
        <v>1</v>
      </c>
      <c r="H36" s="276"/>
      <c r="I36" s="483">
        <f>+Linkin!H26*B34</f>
        <v>0</v>
      </c>
      <c r="J36" s="200"/>
      <c r="K36" s="207">
        <f t="shared" si="19"/>
        <v>0</v>
      </c>
      <c r="L36" s="200"/>
      <c r="M36" s="207">
        <f t="shared" si="20"/>
        <v>0</v>
      </c>
      <c r="N36" s="207"/>
      <c r="O36" s="207">
        <f t="shared" si="21"/>
        <v>0</v>
      </c>
      <c r="P36" s="207"/>
      <c r="Q36" s="207">
        <f t="shared" si="22"/>
        <v>0</v>
      </c>
      <c r="R36" s="207"/>
      <c r="S36" s="206">
        <f t="shared" si="23"/>
        <v>0</v>
      </c>
      <c r="T36" s="206"/>
      <c r="U36" s="206">
        <f t="shared" si="24"/>
        <v>0</v>
      </c>
      <c r="V36" s="206"/>
      <c r="W36" s="206">
        <f t="shared" si="25"/>
        <v>0</v>
      </c>
      <c r="X36" s="206"/>
      <c r="Y36" s="206">
        <f t="shared" si="26"/>
        <v>0</v>
      </c>
      <c r="Z36" s="206"/>
      <c r="AA36" s="206">
        <f t="shared" si="27"/>
        <v>0</v>
      </c>
      <c r="AB36" s="206"/>
      <c r="AC36" s="206">
        <f t="shared" si="28"/>
        <v>0</v>
      </c>
      <c r="AD36" s="206"/>
      <c r="AE36" s="206">
        <f t="shared" si="29"/>
        <v>0</v>
      </c>
      <c r="AF36" s="206"/>
      <c r="AG36" s="206">
        <f t="shared" si="30"/>
        <v>0</v>
      </c>
      <c r="AH36" s="200"/>
      <c r="AI36" s="208">
        <f t="shared" si="16"/>
        <v>0</v>
      </c>
      <c r="AJ36" s="200"/>
      <c r="AK36" s="200"/>
    </row>
    <row r="37" spans="1:37" s="54" customFormat="1">
      <c r="A37" s="200"/>
      <c r="B37" s="206"/>
      <c r="C37" s="515">
        <v>808.1</v>
      </c>
      <c r="D37" s="200"/>
      <c r="E37" s="324" t="s">
        <v>53</v>
      </c>
      <c r="F37" s="276"/>
      <c r="G37" s="325">
        <v>1</v>
      </c>
      <c r="H37" s="276"/>
      <c r="I37" s="483">
        <f>+Linkin!H29*B34</f>
        <v>0</v>
      </c>
      <c r="J37" s="200"/>
      <c r="K37" s="207">
        <f t="shared" si="19"/>
        <v>0</v>
      </c>
      <c r="L37" s="200"/>
      <c r="M37" s="207">
        <f t="shared" si="20"/>
        <v>0</v>
      </c>
      <c r="N37" s="207"/>
      <c r="O37" s="207">
        <f t="shared" si="21"/>
        <v>0</v>
      </c>
      <c r="P37" s="207"/>
      <c r="Q37" s="207">
        <f t="shared" si="22"/>
        <v>0</v>
      </c>
      <c r="R37" s="207"/>
      <c r="S37" s="206">
        <f t="shared" si="23"/>
        <v>0</v>
      </c>
      <c r="T37" s="206"/>
      <c r="U37" s="206">
        <f t="shared" si="24"/>
        <v>0</v>
      </c>
      <c r="V37" s="206"/>
      <c r="W37" s="206">
        <f t="shared" si="25"/>
        <v>0</v>
      </c>
      <c r="X37" s="206"/>
      <c r="Y37" s="206">
        <f t="shared" si="26"/>
        <v>0</v>
      </c>
      <c r="Z37" s="206"/>
      <c r="AA37" s="206">
        <f t="shared" si="27"/>
        <v>0</v>
      </c>
      <c r="AB37" s="206"/>
      <c r="AC37" s="206">
        <f t="shared" si="28"/>
        <v>0</v>
      </c>
      <c r="AD37" s="206"/>
      <c r="AE37" s="206">
        <f t="shared" si="29"/>
        <v>0</v>
      </c>
      <c r="AF37" s="206"/>
      <c r="AG37" s="206">
        <f t="shared" si="30"/>
        <v>0</v>
      </c>
      <c r="AH37" s="200"/>
      <c r="AI37" s="208">
        <f t="shared" si="16"/>
        <v>0</v>
      </c>
      <c r="AJ37" s="200"/>
      <c r="AK37" s="200"/>
    </row>
    <row r="38" spans="1:37" s="54" customFormat="1">
      <c r="A38" s="200"/>
      <c r="B38" s="206"/>
      <c r="C38" s="515">
        <v>808.2</v>
      </c>
      <c r="D38" s="200"/>
      <c r="E38" s="324" t="s">
        <v>308</v>
      </c>
      <c r="F38" s="276"/>
      <c r="G38" s="325">
        <v>1</v>
      </c>
      <c r="H38" s="276"/>
      <c r="I38" s="483">
        <f>+Linkin!H30*B34</f>
        <v>0</v>
      </c>
      <c r="J38" s="200"/>
      <c r="K38" s="207">
        <f t="shared" si="19"/>
        <v>0</v>
      </c>
      <c r="L38" s="200"/>
      <c r="M38" s="207">
        <f t="shared" si="20"/>
        <v>0</v>
      </c>
      <c r="N38" s="207"/>
      <c r="O38" s="207">
        <f t="shared" si="21"/>
        <v>0</v>
      </c>
      <c r="P38" s="207"/>
      <c r="Q38" s="207">
        <f t="shared" si="22"/>
        <v>0</v>
      </c>
      <c r="R38" s="207"/>
      <c r="S38" s="206">
        <f t="shared" si="23"/>
        <v>0</v>
      </c>
      <c r="T38" s="206"/>
      <c r="U38" s="206">
        <f t="shared" si="24"/>
        <v>0</v>
      </c>
      <c r="V38" s="206"/>
      <c r="W38" s="206">
        <f t="shared" si="25"/>
        <v>0</v>
      </c>
      <c r="X38" s="206"/>
      <c r="Y38" s="206">
        <f t="shared" si="26"/>
        <v>0</v>
      </c>
      <c r="Z38" s="206"/>
      <c r="AA38" s="206">
        <f t="shared" si="27"/>
        <v>0</v>
      </c>
      <c r="AB38" s="206"/>
      <c r="AC38" s="206">
        <f t="shared" si="28"/>
        <v>0</v>
      </c>
      <c r="AD38" s="206"/>
      <c r="AE38" s="206">
        <f t="shared" si="29"/>
        <v>0</v>
      </c>
      <c r="AF38" s="206"/>
      <c r="AG38" s="206">
        <f t="shared" si="30"/>
        <v>0</v>
      </c>
      <c r="AH38" s="200"/>
      <c r="AI38" s="208">
        <f t="shared" si="16"/>
        <v>0</v>
      </c>
      <c r="AJ38" s="200"/>
      <c r="AK38" s="200"/>
    </row>
    <row r="39" spans="1:37" s="54" customFormat="1">
      <c r="A39" s="200"/>
      <c r="B39" s="206"/>
      <c r="C39" s="515">
        <v>812</v>
      </c>
      <c r="D39" s="200"/>
      <c r="E39" s="324" t="s">
        <v>481</v>
      </c>
      <c r="F39" s="276"/>
      <c r="G39" s="325">
        <v>1</v>
      </c>
      <c r="H39" s="276"/>
      <c r="I39" s="483">
        <f>+Linkin!H31*B34</f>
        <v>0</v>
      </c>
      <c r="J39" s="200"/>
      <c r="K39" s="207">
        <f t="shared" si="19"/>
        <v>0</v>
      </c>
      <c r="L39" s="200"/>
      <c r="M39" s="207">
        <f t="shared" si="20"/>
        <v>0</v>
      </c>
      <c r="N39" s="207"/>
      <c r="O39" s="207">
        <f t="shared" si="21"/>
        <v>0</v>
      </c>
      <c r="P39" s="207"/>
      <c r="Q39" s="207">
        <f t="shared" si="22"/>
        <v>0</v>
      </c>
      <c r="R39" s="207"/>
      <c r="S39" s="206">
        <f t="shared" si="23"/>
        <v>0</v>
      </c>
      <c r="T39" s="206"/>
      <c r="U39" s="206">
        <f t="shared" si="24"/>
        <v>0</v>
      </c>
      <c r="V39" s="206"/>
      <c r="W39" s="206">
        <f t="shared" si="25"/>
        <v>0</v>
      </c>
      <c r="X39" s="206"/>
      <c r="Y39" s="206">
        <f t="shared" si="26"/>
        <v>0</v>
      </c>
      <c r="Z39" s="206"/>
      <c r="AA39" s="206">
        <f t="shared" si="27"/>
        <v>0</v>
      </c>
      <c r="AB39" s="206"/>
      <c r="AC39" s="206">
        <f t="shared" si="28"/>
        <v>0</v>
      </c>
      <c r="AD39" s="206"/>
      <c r="AE39" s="206">
        <f t="shared" si="29"/>
        <v>0</v>
      </c>
      <c r="AF39" s="206"/>
      <c r="AG39" s="206">
        <f t="shared" si="30"/>
        <v>0</v>
      </c>
      <c r="AH39" s="200"/>
      <c r="AI39" s="208">
        <f t="shared" si="16"/>
        <v>0</v>
      </c>
      <c r="AJ39" s="200"/>
      <c r="AK39" s="200"/>
    </row>
    <row r="40" spans="1:37" s="54" customFormat="1">
      <c r="A40" s="200"/>
      <c r="B40" s="205"/>
      <c r="C40" s="514">
        <v>813</v>
      </c>
      <c r="D40" s="200"/>
      <c r="E40" s="324" t="s">
        <v>229</v>
      </c>
      <c r="F40" s="276"/>
      <c r="G40" s="325">
        <v>1</v>
      </c>
      <c r="H40" s="276"/>
      <c r="I40" s="483">
        <f>+Linkin!H32*$B$32</f>
        <v>0</v>
      </c>
      <c r="J40" s="200"/>
      <c r="K40" s="212">
        <f t="shared" si="19"/>
        <v>0</v>
      </c>
      <c r="L40" s="200"/>
      <c r="M40" s="212">
        <f t="shared" si="20"/>
        <v>0</v>
      </c>
      <c r="N40" s="207"/>
      <c r="O40" s="212">
        <f t="shared" si="21"/>
        <v>0</v>
      </c>
      <c r="P40" s="213"/>
      <c r="Q40" s="212">
        <f t="shared" si="22"/>
        <v>0</v>
      </c>
      <c r="R40" s="207"/>
      <c r="S40" s="211">
        <f t="shared" si="23"/>
        <v>0</v>
      </c>
      <c r="T40" s="214"/>
      <c r="U40" s="211">
        <f t="shared" si="24"/>
        <v>0</v>
      </c>
      <c r="V40" s="206"/>
      <c r="W40" s="211">
        <f t="shared" si="25"/>
        <v>0</v>
      </c>
      <c r="X40" s="206"/>
      <c r="Y40" s="211">
        <f t="shared" si="26"/>
        <v>0</v>
      </c>
      <c r="Z40" s="206"/>
      <c r="AA40" s="211">
        <f t="shared" si="27"/>
        <v>0</v>
      </c>
      <c r="AB40" s="214"/>
      <c r="AC40" s="211">
        <f t="shared" si="28"/>
        <v>0</v>
      </c>
      <c r="AD40" s="206"/>
      <c r="AE40" s="211">
        <f t="shared" si="29"/>
        <v>0</v>
      </c>
      <c r="AF40" s="206"/>
      <c r="AG40" s="211">
        <f t="shared" si="30"/>
        <v>0</v>
      </c>
      <c r="AH40" s="200"/>
      <c r="AI40" s="208">
        <f t="shared" si="16"/>
        <v>0</v>
      </c>
      <c r="AJ40" s="200"/>
      <c r="AK40" s="200"/>
    </row>
    <row r="41" spans="1:37">
      <c r="E41" s="276" t="s">
        <v>222</v>
      </c>
      <c r="F41" s="276"/>
      <c r="G41" s="325"/>
      <c r="H41" s="276"/>
      <c r="I41" s="653">
        <f>SUM(I34:I40)</f>
        <v>0</v>
      </c>
      <c r="K41" s="211">
        <f>SUM(K34:K40)</f>
        <v>0</v>
      </c>
      <c r="M41" s="211">
        <f>SUM(M34:M40)</f>
        <v>0</v>
      </c>
      <c r="O41" s="211">
        <f>SUM(O34:O40)</f>
        <v>0</v>
      </c>
      <c r="P41" s="214"/>
      <c r="Q41" s="211">
        <f>SUM(Q34:Q40)</f>
        <v>0</v>
      </c>
      <c r="S41" s="211">
        <f>SUM(S34:S40)</f>
        <v>0</v>
      </c>
      <c r="T41" s="214"/>
      <c r="U41" s="211">
        <f>SUM(U34:U40)</f>
        <v>0</v>
      </c>
      <c r="W41" s="211">
        <f>SUM(W34:W40)</f>
        <v>0</v>
      </c>
      <c r="Y41" s="211">
        <f>SUM(Y34:Y40)</f>
        <v>0</v>
      </c>
      <c r="AA41" s="211">
        <f>SUM(AA34:AA40)</f>
        <v>0</v>
      </c>
      <c r="AB41" s="214"/>
      <c r="AC41" s="211">
        <f>SUM(AC34:AC40)</f>
        <v>0</v>
      </c>
      <c r="AE41" s="211">
        <f>SUM(AE34:AE40)</f>
        <v>0</v>
      </c>
      <c r="AG41" s="211">
        <f>SUM(AG34:AG40)</f>
        <v>0</v>
      </c>
      <c r="AI41" s="208">
        <f t="shared" si="16"/>
        <v>0</v>
      </c>
    </row>
    <row r="42" spans="1:37">
      <c r="E42" s="276"/>
      <c r="F42" s="276"/>
      <c r="G42" s="325"/>
      <c r="H42" s="276"/>
      <c r="I42" s="361"/>
      <c r="K42" s="206"/>
      <c r="M42" s="206"/>
      <c r="O42" s="206"/>
      <c r="P42" s="206"/>
      <c r="Q42" s="206"/>
      <c r="S42" s="206"/>
      <c r="T42" s="206"/>
      <c r="U42" s="206"/>
      <c r="W42" s="206"/>
      <c r="Y42" s="206"/>
      <c r="Z42" s="206"/>
      <c r="AA42" s="206"/>
      <c r="AB42" s="206"/>
      <c r="AC42" s="206"/>
      <c r="AE42" s="206"/>
      <c r="AG42" s="206"/>
      <c r="AI42" s="208">
        <f t="shared" si="16"/>
        <v>0</v>
      </c>
    </row>
    <row r="43" spans="1:37" ht="15.75">
      <c r="B43" s="206"/>
      <c r="E43" s="654" t="s">
        <v>227</v>
      </c>
      <c r="F43" s="654"/>
      <c r="G43" s="655"/>
      <c r="H43" s="654"/>
      <c r="I43" s="656">
        <f>+I41++I24+I31</f>
        <v>1442000</v>
      </c>
      <c r="J43" s="34"/>
      <c r="K43" s="46">
        <f>+K41++K24+K31</f>
        <v>1153023</v>
      </c>
      <c r="L43" s="34"/>
      <c r="M43" s="46">
        <f>+M41++M24+M31</f>
        <v>288977</v>
      </c>
      <c r="N43" s="34"/>
      <c r="O43" s="46">
        <f>+O41++O24+O31</f>
        <v>0</v>
      </c>
      <c r="P43" s="34"/>
      <c r="Q43" s="46">
        <f>+Q41++Q24+Q31</f>
        <v>0</v>
      </c>
      <c r="R43" s="34"/>
      <c r="S43" s="46">
        <f>+S41++S24+S31</f>
        <v>0</v>
      </c>
      <c r="T43" s="55"/>
      <c r="U43" s="46">
        <f>+U41++U24+U31</f>
        <v>0</v>
      </c>
      <c r="V43" s="34"/>
      <c r="W43" s="46">
        <f>+W41++W24+W31</f>
        <v>0</v>
      </c>
      <c r="X43" s="34"/>
      <c r="Y43" s="46">
        <f>+Y41++Y24+Y31</f>
        <v>0</v>
      </c>
      <c r="Z43" s="34"/>
      <c r="AA43" s="46">
        <f>+AA41++AA24+AA31</f>
        <v>0</v>
      </c>
      <c r="AB43" s="34"/>
      <c r="AC43" s="46">
        <f>+AC41++AC24+AC31</f>
        <v>0</v>
      </c>
      <c r="AD43" s="34"/>
      <c r="AE43" s="46">
        <f>+AE41++AE24+AE31</f>
        <v>0</v>
      </c>
      <c r="AF43" s="34"/>
      <c r="AG43" s="46">
        <f>+AG41++AG24+AG31</f>
        <v>0</v>
      </c>
      <c r="AH43" s="34"/>
      <c r="AI43" s="208">
        <f t="shared" si="16"/>
        <v>0</v>
      </c>
    </row>
    <row r="44" spans="1:37" ht="15.75">
      <c r="B44" s="206"/>
      <c r="E44" s="654"/>
      <c r="F44" s="654"/>
      <c r="G44" s="655"/>
      <c r="H44" s="654"/>
      <c r="I44" s="657"/>
      <c r="J44" s="34"/>
      <c r="K44" s="55"/>
      <c r="L44" s="34"/>
      <c r="M44" s="55"/>
      <c r="N44" s="34"/>
      <c r="O44" s="55"/>
      <c r="P44" s="55"/>
      <c r="Q44" s="55"/>
      <c r="R44" s="34"/>
      <c r="S44" s="55"/>
      <c r="T44" s="55"/>
      <c r="U44" s="55"/>
      <c r="V44" s="34"/>
      <c r="W44" s="55"/>
      <c r="X44" s="34"/>
      <c r="Y44" s="55"/>
      <c r="Z44" s="34"/>
      <c r="AA44" s="55"/>
      <c r="AB44" s="55"/>
      <c r="AC44" s="55"/>
      <c r="AD44" s="34"/>
      <c r="AE44" s="55"/>
      <c r="AF44" s="34"/>
      <c r="AG44" s="55"/>
      <c r="AH44" s="34"/>
      <c r="AI44" s="208">
        <f t="shared" si="16"/>
        <v>0</v>
      </c>
    </row>
    <row r="45" spans="1:37" ht="27" customHeight="1">
      <c r="B45" s="206"/>
      <c r="C45" s="34" t="s">
        <v>412</v>
      </c>
      <c r="E45" s="654"/>
      <c r="F45" s="654"/>
      <c r="G45" s="143"/>
      <c r="H45" s="654"/>
      <c r="I45" s="657"/>
      <c r="J45" s="34"/>
      <c r="K45" s="55"/>
      <c r="L45" s="34"/>
      <c r="M45" s="55"/>
      <c r="N45" s="34"/>
      <c r="O45" s="55"/>
      <c r="P45" s="55"/>
      <c r="Q45" s="55"/>
      <c r="R45" s="34"/>
      <c r="S45" s="55"/>
      <c r="T45" s="55"/>
      <c r="U45" s="55"/>
      <c r="V45" s="34"/>
      <c r="W45" s="55"/>
      <c r="X45" s="34"/>
      <c r="Y45" s="55"/>
      <c r="Z45" s="34"/>
      <c r="AA45" s="55"/>
      <c r="AB45" s="55"/>
      <c r="AC45" s="55"/>
      <c r="AD45" s="34"/>
      <c r="AE45" s="55"/>
      <c r="AF45" s="34"/>
      <c r="AG45" s="55"/>
      <c r="AH45" s="34"/>
      <c r="AI45" s="208">
        <f t="shared" si="16"/>
        <v>0</v>
      </c>
    </row>
    <row r="46" spans="1:37" s="200" customFormat="1" ht="15.75">
      <c r="A46" s="95">
        <v>34</v>
      </c>
      <c r="B46" s="198"/>
      <c r="C46" s="515">
        <v>840</v>
      </c>
      <c r="D46" s="95"/>
      <c r="E46" s="324" t="s">
        <v>490</v>
      </c>
      <c r="F46" s="658"/>
      <c r="G46" s="478" t="s">
        <v>633</v>
      </c>
      <c r="H46" s="658"/>
      <c r="I46" s="483">
        <f>+A46*1000</f>
        <v>34000</v>
      </c>
      <c r="J46" s="217"/>
      <c r="K46" s="207">
        <f>ROUND(VLOOKUP($G46,factors,+K$318)*$I46,0)</f>
        <v>24137</v>
      </c>
      <c r="M46" s="207">
        <f>ROUND(VLOOKUP($G46,factors,+M$318)*$I46,0)</f>
        <v>9863</v>
      </c>
      <c r="N46" s="207"/>
      <c r="O46" s="207">
        <f>ROUND(VLOOKUP($G46,factors,+O$318)*$I46,0)</f>
        <v>0</v>
      </c>
      <c r="P46" s="207"/>
      <c r="Q46" s="207">
        <f>ROUND(VLOOKUP($G46,factors,+Q$318)*$I46,0)</f>
        <v>0</v>
      </c>
      <c r="R46" s="207"/>
      <c r="S46" s="206">
        <f>ROUND(VLOOKUP($G46,factors,+S$318)*$I46,0)</f>
        <v>0</v>
      </c>
      <c r="T46" s="206"/>
      <c r="U46" s="206">
        <f>ROUND(VLOOKUP($G46,factors,+U$318)*$I46,0)</f>
        <v>0</v>
      </c>
      <c r="V46" s="206"/>
      <c r="W46" s="206">
        <f>ROUND(VLOOKUP($G46,factors,+W$318)*$I46,0)</f>
        <v>0</v>
      </c>
      <c r="X46" s="206"/>
      <c r="Y46" s="206">
        <f>ROUND(VLOOKUP($G46,factors,+Y$318)*$I46,0)</f>
        <v>0</v>
      </c>
      <c r="Z46" s="206"/>
      <c r="AA46" s="206">
        <f>ROUND(VLOOKUP($G46,factors,+AA$318)*$I46,0)</f>
        <v>0</v>
      </c>
      <c r="AB46" s="206"/>
      <c r="AC46" s="206">
        <f>ROUND(VLOOKUP($G46,factors,+AC$318)*$I46,0)</f>
        <v>0</v>
      </c>
      <c r="AD46" s="206"/>
      <c r="AE46" s="206">
        <f>ROUND(VLOOKUP($G46,factors,+AE$318)*$I46,0)</f>
        <v>0</v>
      </c>
      <c r="AF46" s="206"/>
      <c r="AG46" s="206">
        <f>ROUND(VLOOKUP($G46,factors,+AG$318)*$I46,0)</f>
        <v>0</v>
      </c>
      <c r="AI46" s="208">
        <f t="shared" si="16"/>
        <v>0</v>
      </c>
    </row>
    <row r="47" spans="1:37" s="200" customFormat="1" ht="15.75">
      <c r="A47" s="95"/>
      <c r="B47" s="198"/>
      <c r="C47" s="515">
        <v>841</v>
      </c>
      <c r="D47" s="95"/>
      <c r="E47" s="324" t="s">
        <v>491</v>
      </c>
      <c r="F47" s="658"/>
      <c r="G47" s="325">
        <v>4</v>
      </c>
      <c r="H47" s="658"/>
      <c r="I47" s="483">
        <f>+Linkin!H41</f>
        <v>0</v>
      </c>
      <c r="J47" s="217"/>
      <c r="K47" s="207"/>
      <c r="M47" s="207"/>
      <c r="N47" s="207"/>
      <c r="O47" s="207"/>
      <c r="P47" s="207"/>
      <c r="Q47" s="207"/>
      <c r="R47" s="207"/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I47" s="208"/>
    </row>
    <row r="48" spans="1:37" s="200" customFormat="1" ht="15.75">
      <c r="B48" s="206"/>
      <c r="C48" s="515" t="s">
        <v>493</v>
      </c>
      <c r="E48" s="276" t="s">
        <v>492</v>
      </c>
      <c r="F48" s="658"/>
      <c r="G48" s="325">
        <v>4</v>
      </c>
      <c r="H48" s="658"/>
      <c r="I48" s="479">
        <f>+Linkin!H42</f>
        <v>0</v>
      </c>
      <c r="J48" s="217"/>
      <c r="K48" s="212">
        <f>ROUND(VLOOKUP($G48,factors,+K$318)*$I48,0)</f>
        <v>0</v>
      </c>
      <c r="M48" s="212">
        <f>ROUND(VLOOKUP($G48,factors,+M$318)*$I48,0)</f>
        <v>0</v>
      </c>
      <c r="N48" s="207"/>
      <c r="O48" s="212">
        <f>ROUND(VLOOKUP($G48,factors,+O$318)*$I48,0)</f>
        <v>0</v>
      </c>
      <c r="P48" s="213"/>
      <c r="Q48" s="212">
        <f>ROUND(VLOOKUP($G48,factors,+Q$318)*$I48,0)</f>
        <v>0</v>
      </c>
      <c r="R48" s="207"/>
      <c r="S48" s="211">
        <f>ROUND(VLOOKUP($G48,factors,+S$318)*$I48,0)</f>
        <v>0</v>
      </c>
      <c r="T48" s="214"/>
      <c r="U48" s="211">
        <f>ROUND(VLOOKUP($G48,factors,+U$318)*$I48,0)</f>
        <v>0</v>
      </c>
      <c r="V48" s="206"/>
      <c r="W48" s="211">
        <f>ROUND(VLOOKUP($G48,factors,+W$318)*$I48,0)</f>
        <v>0</v>
      </c>
      <c r="X48" s="206"/>
      <c r="Y48" s="211">
        <f>ROUND(VLOOKUP($G48,factors,+Y$318)*$I48,0)</f>
        <v>0</v>
      </c>
      <c r="Z48" s="206"/>
      <c r="AA48" s="211">
        <f>ROUND(VLOOKUP($G48,factors,+AA$318)*$I48,0)</f>
        <v>0</v>
      </c>
      <c r="AB48" s="214"/>
      <c r="AC48" s="211">
        <f>ROUND(VLOOKUP($G48,factors,+AC$318)*$I48,0)</f>
        <v>0</v>
      </c>
      <c r="AD48" s="206"/>
      <c r="AE48" s="211">
        <f>ROUND(VLOOKUP($G48,factors,+AE$318)*$I48,0)</f>
        <v>0</v>
      </c>
      <c r="AF48" s="206"/>
      <c r="AG48" s="211">
        <f>ROUND(VLOOKUP($G48,factors,+AG$318)*$I48,0)</f>
        <v>0</v>
      </c>
      <c r="AI48" s="208">
        <f t="shared" ref="AI48:AI62" si="31">SUM(K48:AG48)-I48</f>
        <v>0</v>
      </c>
    </row>
    <row r="49" spans="2:35" ht="15.75">
      <c r="B49" s="206"/>
      <c r="E49" s="109"/>
      <c r="F49" s="654"/>
      <c r="G49" s="143"/>
      <c r="H49" s="654"/>
      <c r="I49" s="659"/>
      <c r="J49" s="34"/>
      <c r="K49" s="213"/>
      <c r="M49" s="213"/>
      <c r="N49" s="207"/>
      <c r="O49" s="213"/>
      <c r="P49" s="213"/>
      <c r="Q49" s="213"/>
      <c r="R49" s="207"/>
      <c r="S49" s="214"/>
      <c r="T49" s="214"/>
      <c r="U49" s="214"/>
      <c r="V49" s="206"/>
      <c r="W49" s="214"/>
      <c r="X49" s="206"/>
      <c r="Y49" s="214"/>
      <c r="Z49" s="206"/>
      <c r="AA49" s="214"/>
      <c r="AB49" s="214"/>
      <c r="AC49" s="214"/>
      <c r="AD49" s="206"/>
      <c r="AE49" s="214"/>
      <c r="AF49" s="206"/>
      <c r="AG49" s="214"/>
      <c r="AI49" s="208">
        <f t="shared" si="31"/>
        <v>0</v>
      </c>
    </row>
    <row r="50" spans="2:35" s="34" customFormat="1" ht="15" customHeight="1">
      <c r="B50" s="312">
        <f>+I50+I43</f>
        <v>1476000</v>
      </c>
      <c r="E50" s="654" t="s">
        <v>381</v>
      </c>
      <c r="F50" s="654"/>
      <c r="G50" s="655"/>
      <c r="H50" s="654"/>
      <c r="I50" s="657">
        <f>SUM(I46:I48)</f>
        <v>34000</v>
      </c>
      <c r="K50" s="55">
        <f>SUM(K46:K48)</f>
        <v>24137</v>
      </c>
      <c r="M50" s="55">
        <f>SUM(M46:M48)</f>
        <v>9863</v>
      </c>
      <c r="O50" s="55">
        <f>SUM(O46:O48)</f>
        <v>0</v>
      </c>
      <c r="Q50" s="55">
        <f>SUM(Q46:Q48)</f>
        <v>0</v>
      </c>
      <c r="S50" s="55">
        <f>SUM(S46:S48)</f>
        <v>0</v>
      </c>
      <c r="T50" s="55"/>
      <c r="U50" s="55">
        <f>SUM(U46:U48)</f>
        <v>0</v>
      </c>
      <c r="W50" s="55">
        <f>SUM(W46:W48)</f>
        <v>0</v>
      </c>
      <c r="Y50" s="55">
        <f>SUM(Y46:Y48)</f>
        <v>0</v>
      </c>
      <c r="AA50" s="55">
        <f>SUM(AA46:AA48)</f>
        <v>0</v>
      </c>
      <c r="AC50" s="55">
        <f>SUM(AC46:AC48)</f>
        <v>0</v>
      </c>
      <c r="AE50" s="55">
        <f t="shared" ref="AE50" si="32">SUM(AE46:AE48)</f>
        <v>0</v>
      </c>
      <c r="AG50" s="55">
        <f t="shared" ref="AG50" si="33">SUM(AG46:AG48)</f>
        <v>0</v>
      </c>
      <c r="AI50" s="208">
        <f t="shared" si="31"/>
        <v>0</v>
      </c>
    </row>
    <row r="51" spans="2:35" ht="15.75">
      <c r="B51" s="206"/>
      <c r="E51" s="276"/>
      <c r="F51" s="654"/>
      <c r="G51" s="655"/>
      <c r="H51" s="654"/>
      <c r="I51" s="659"/>
      <c r="J51" s="34"/>
      <c r="K51" s="55"/>
      <c r="L51" s="34"/>
      <c r="M51" s="55"/>
      <c r="N51" s="34"/>
      <c r="O51" s="55"/>
      <c r="P51" s="55"/>
      <c r="Q51" s="55"/>
      <c r="R51" s="34"/>
      <c r="S51" s="55"/>
      <c r="T51" s="55"/>
      <c r="U51" s="55"/>
      <c r="V51" s="34"/>
      <c r="W51" s="55"/>
      <c r="X51" s="34"/>
      <c r="Y51" s="55"/>
      <c r="Z51" s="34"/>
      <c r="AA51" s="55"/>
      <c r="AB51" s="55"/>
      <c r="AC51" s="55"/>
      <c r="AD51" s="34"/>
      <c r="AE51" s="55"/>
      <c r="AF51" s="34"/>
      <c r="AG51" s="55"/>
      <c r="AH51" s="34"/>
      <c r="AI51" s="208">
        <f t="shared" si="31"/>
        <v>0</v>
      </c>
    </row>
    <row r="52" spans="2:35" ht="15.75">
      <c r="B52" s="206"/>
      <c r="C52" s="34" t="s">
        <v>382</v>
      </c>
      <c r="E52" s="654"/>
      <c r="F52" s="654"/>
      <c r="G52" s="143"/>
      <c r="H52" s="109"/>
      <c r="I52" s="659"/>
      <c r="J52" s="34"/>
      <c r="K52" s="55"/>
      <c r="L52" s="34"/>
      <c r="M52" s="55"/>
      <c r="N52" s="34"/>
      <c r="O52" s="55"/>
      <c r="P52" s="55"/>
      <c r="Q52" s="55"/>
      <c r="R52" s="34"/>
      <c r="S52" s="55"/>
      <c r="T52" s="55"/>
      <c r="U52" s="55"/>
      <c r="V52" s="34"/>
      <c r="W52" s="55"/>
      <c r="X52" s="34"/>
      <c r="Y52" s="55"/>
      <c r="Z52" s="34"/>
      <c r="AA52" s="55"/>
      <c r="AB52" s="55"/>
      <c r="AC52" s="55"/>
      <c r="AD52" s="34"/>
      <c r="AE52" s="55"/>
      <c r="AF52" s="34"/>
      <c r="AG52" s="55"/>
      <c r="AH52" s="34"/>
      <c r="AI52" s="208">
        <f t="shared" si="31"/>
        <v>0</v>
      </c>
    </row>
    <row r="53" spans="2:35" ht="15.75">
      <c r="B53" s="206"/>
      <c r="C53" s="210" t="s">
        <v>383</v>
      </c>
      <c r="E53" s="109" t="s">
        <v>376</v>
      </c>
      <c r="F53" s="654"/>
      <c r="G53" s="478">
        <v>4</v>
      </c>
      <c r="H53" s="109"/>
      <c r="I53" s="659">
        <f>+Linkin!H45</f>
        <v>0</v>
      </c>
      <c r="J53" s="34"/>
      <c r="K53" s="207">
        <f>ROUND(VLOOKUP($G53,factors,+K$318)*$I53,0)</f>
        <v>0</v>
      </c>
      <c r="M53" s="207">
        <f>ROUND(VLOOKUP($G53,factors,+M$318)*$I53,0)</f>
        <v>0</v>
      </c>
      <c r="N53" s="207"/>
      <c r="O53" s="207">
        <f>ROUND(VLOOKUP($G53,factors,+O$318)*$I53,0)</f>
        <v>0</v>
      </c>
      <c r="P53" s="207"/>
      <c r="Q53" s="207">
        <f>ROUND(VLOOKUP($G53,factors,+Q$318)*$I53,0)</f>
        <v>0</v>
      </c>
      <c r="R53" s="207"/>
      <c r="S53" s="206">
        <f>ROUND(VLOOKUP($G53,factors,+S$318)*$I53,0)</f>
        <v>0</v>
      </c>
      <c r="T53" s="206"/>
      <c r="U53" s="206">
        <f>ROUND(VLOOKUP($G53,factors,+U$318)*$I53,0)</f>
        <v>0</v>
      </c>
      <c r="V53" s="206"/>
      <c r="W53" s="206">
        <f>ROUND(VLOOKUP($G53,factors,+W$318)*$I53,0)</f>
        <v>0</v>
      </c>
      <c r="X53" s="206"/>
      <c r="Y53" s="206">
        <f>ROUND(VLOOKUP($G53,factors,+Y$318)*$I53,0)</f>
        <v>0</v>
      </c>
      <c r="Z53" s="206"/>
      <c r="AA53" s="206">
        <f>ROUND(VLOOKUP($G53,factors,+AA$318)*$I53,0)</f>
        <v>0</v>
      </c>
      <c r="AB53" s="206"/>
      <c r="AC53" s="206">
        <f>ROUND(VLOOKUP($G53,factors,+AC$318)*$I53,0)</f>
        <v>0</v>
      </c>
      <c r="AD53" s="206"/>
      <c r="AE53" s="206">
        <f>ROUND(VLOOKUP($G53,factors,+AE$318)*$I53,0)</f>
        <v>0</v>
      </c>
      <c r="AF53" s="206"/>
      <c r="AG53" s="206">
        <f>ROUND(VLOOKUP($G53,factors,+AG$318)*$I53,0)</f>
        <v>0</v>
      </c>
      <c r="AI53" s="208">
        <f t="shared" si="31"/>
        <v>0</v>
      </c>
    </row>
    <row r="54" spans="2:35" ht="15.75">
      <c r="B54" s="206"/>
      <c r="C54" s="210" t="s">
        <v>384</v>
      </c>
      <c r="E54" s="109" t="s">
        <v>377</v>
      </c>
      <c r="F54" s="654"/>
      <c r="G54" s="478">
        <v>4</v>
      </c>
      <c r="H54" s="109"/>
      <c r="I54" s="749">
        <f>+Linkin!H46*0</f>
        <v>0</v>
      </c>
      <c r="J54" s="654"/>
      <c r="K54" s="212">
        <f>ROUND(VLOOKUP($G54,factors,+K$318)*$I54,0)</f>
        <v>0</v>
      </c>
      <c r="M54" s="212">
        <f>ROUND(VLOOKUP($G54,factors,+M$318)*$I54,0)</f>
        <v>0</v>
      </c>
      <c r="N54" s="207"/>
      <c r="O54" s="212">
        <f>ROUND(VLOOKUP($G54,factors,+O$318)*$I54,0)</f>
        <v>0</v>
      </c>
      <c r="P54" s="213"/>
      <c r="Q54" s="212">
        <f>ROUND(VLOOKUP($G54,factors,+Q$318)*$I54,0)</f>
        <v>0</v>
      </c>
      <c r="R54" s="207"/>
      <c r="S54" s="211">
        <f>ROUND(VLOOKUP($G54,factors,+S$318)*$I54,0)</f>
        <v>0</v>
      </c>
      <c r="T54" s="214"/>
      <c r="U54" s="211">
        <f>ROUND(VLOOKUP($G54,factors,+U$318)*$I54,0)</f>
        <v>0</v>
      </c>
      <c r="V54" s="206"/>
      <c r="W54" s="211">
        <f>ROUND(VLOOKUP($G54,factors,+W$318)*$I54,0)</f>
        <v>0</v>
      </c>
      <c r="X54" s="206"/>
      <c r="Y54" s="211">
        <f>ROUND(VLOOKUP($G54,factors,+Y$318)*$I54,0)</f>
        <v>0</v>
      </c>
      <c r="Z54" s="206"/>
      <c r="AA54" s="211">
        <f>ROUND(VLOOKUP($G54,factors,+AA$318)*$I54,0)</f>
        <v>0</v>
      </c>
      <c r="AB54" s="214"/>
      <c r="AC54" s="211">
        <f>ROUND(VLOOKUP($G54,factors,+AC$318)*$I54,0)</f>
        <v>0</v>
      </c>
      <c r="AD54" s="206"/>
      <c r="AE54" s="211">
        <f>ROUND(VLOOKUP($G54,factors,+AE$318)*$I54,0)</f>
        <v>0</v>
      </c>
      <c r="AF54" s="206"/>
      <c r="AG54" s="211">
        <f>ROUND(VLOOKUP($G54,factors,+AG$318)*$I54,0)</f>
        <v>0</v>
      </c>
      <c r="AI54" s="208">
        <f t="shared" si="31"/>
        <v>0</v>
      </c>
    </row>
    <row r="55" spans="2:35" ht="15.75">
      <c r="B55" s="206"/>
      <c r="E55" s="654"/>
      <c r="F55" s="654"/>
      <c r="G55" s="143"/>
      <c r="H55" s="109"/>
      <c r="I55" s="276"/>
      <c r="J55" s="34"/>
      <c r="K55" s="213"/>
      <c r="M55" s="213"/>
      <c r="N55" s="207"/>
      <c r="O55" s="213"/>
      <c r="P55" s="213"/>
      <c r="Q55" s="213"/>
      <c r="R55" s="207"/>
      <c r="S55" s="214"/>
      <c r="T55" s="214"/>
      <c r="U55" s="214"/>
      <c r="V55" s="206"/>
      <c r="W55" s="214"/>
      <c r="X55" s="206"/>
      <c r="Y55" s="214"/>
      <c r="Z55" s="206"/>
      <c r="AA55" s="214"/>
      <c r="AB55" s="214"/>
      <c r="AC55" s="214"/>
      <c r="AD55" s="206"/>
      <c r="AE55" s="214"/>
      <c r="AF55" s="206"/>
      <c r="AG55" s="214"/>
      <c r="AI55" s="208">
        <f t="shared" si="31"/>
        <v>0</v>
      </c>
    </row>
    <row r="56" spans="2:35" s="34" customFormat="1" ht="15.75">
      <c r="B56" s="312"/>
      <c r="E56" s="654" t="s">
        <v>385</v>
      </c>
      <c r="F56" s="654"/>
      <c r="G56" s="655"/>
      <c r="H56" s="654"/>
      <c r="I56" s="657">
        <f>SUM(I53:I54)</f>
        <v>0</v>
      </c>
      <c r="K56" s="55">
        <f>SUM(K53:K54)</f>
        <v>0</v>
      </c>
      <c r="M56" s="55">
        <f>SUM(M53:M54)</f>
        <v>0</v>
      </c>
      <c r="O56" s="55">
        <f>SUM(O53:O54)</f>
        <v>0</v>
      </c>
      <c r="Q56" s="55">
        <f>SUM(Q53:Q54)</f>
        <v>0</v>
      </c>
      <c r="S56" s="55">
        <f>SUM(S53:S54)</f>
        <v>0</v>
      </c>
      <c r="T56" s="55"/>
      <c r="U56" s="55">
        <f>SUM(U53:U54)</f>
        <v>0</v>
      </c>
      <c r="W56" s="55">
        <f>SUM(W53:W54)</f>
        <v>0</v>
      </c>
      <c r="Y56" s="55">
        <f>SUM(Y53:Y54)</f>
        <v>0</v>
      </c>
      <c r="AA56" s="55">
        <f>SUM(AA53:AA54)</f>
        <v>0</v>
      </c>
      <c r="AC56" s="55">
        <f>SUM(AC53:AC54)</f>
        <v>0</v>
      </c>
      <c r="AE56" s="55">
        <f t="shared" ref="AE56" si="34">SUM(AE53:AE54)</f>
        <v>0</v>
      </c>
      <c r="AG56" s="55">
        <f t="shared" ref="AG56" si="35">SUM(AG53:AG54)</f>
        <v>0</v>
      </c>
      <c r="AI56" s="208">
        <f t="shared" si="31"/>
        <v>0</v>
      </c>
    </row>
    <row r="57" spans="2:35" ht="20.25" customHeight="1">
      <c r="E57" s="276"/>
      <c r="F57" s="276"/>
      <c r="G57" s="325"/>
      <c r="H57" s="276"/>
      <c r="I57" s="361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I57" s="208">
        <f t="shared" si="31"/>
        <v>0</v>
      </c>
    </row>
    <row r="58" spans="2:35" ht="15.75">
      <c r="C58" s="34" t="s">
        <v>230</v>
      </c>
      <c r="E58" s="276"/>
      <c r="F58" s="276"/>
      <c r="G58" s="325"/>
      <c r="H58" s="276"/>
      <c r="I58" s="361"/>
      <c r="S58" s="206"/>
      <c r="T58" s="206"/>
      <c r="U58" s="206"/>
      <c r="Z58" s="206"/>
      <c r="AA58" s="206"/>
      <c r="AB58" s="206"/>
      <c r="AC58" s="206"/>
      <c r="AE58" s="206"/>
      <c r="AG58" s="206"/>
      <c r="AI58" s="208">
        <f t="shared" si="31"/>
        <v>0</v>
      </c>
    </row>
    <row r="59" spans="2:35" ht="3.75" customHeight="1">
      <c r="C59" s="200" t="s">
        <v>218</v>
      </c>
      <c r="E59" s="276" t="s">
        <v>219</v>
      </c>
      <c r="F59" s="276"/>
      <c r="G59" s="325"/>
      <c r="H59" s="276"/>
      <c r="I59" s="361"/>
      <c r="S59" s="206"/>
      <c r="T59" s="206"/>
      <c r="U59" s="206"/>
      <c r="Z59" s="206"/>
      <c r="AA59" s="206"/>
      <c r="AB59" s="206"/>
      <c r="AC59" s="206"/>
      <c r="AE59" s="206"/>
      <c r="AG59" s="206"/>
      <c r="AI59" s="208">
        <f t="shared" si="31"/>
        <v>0</v>
      </c>
    </row>
    <row r="60" spans="2:35">
      <c r="C60" s="200" t="s">
        <v>218</v>
      </c>
      <c r="E60" s="652" t="s">
        <v>207</v>
      </c>
      <c r="F60" s="276"/>
      <c r="G60" s="325"/>
      <c r="H60" s="276"/>
      <c r="I60" s="361"/>
      <c r="S60" s="206"/>
      <c r="T60" s="206"/>
      <c r="U60" s="206"/>
      <c r="Z60" s="206"/>
      <c r="AA60" s="206"/>
      <c r="AB60" s="206"/>
      <c r="AC60" s="206"/>
      <c r="AE60" s="206"/>
      <c r="AG60" s="206"/>
      <c r="AI60" s="208">
        <f t="shared" si="31"/>
        <v>0</v>
      </c>
    </row>
    <row r="61" spans="2:35">
      <c r="C61" s="210">
        <v>870</v>
      </c>
      <c r="E61" s="276" t="s">
        <v>109</v>
      </c>
      <c r="F61" s="276"/>
      <c r="G61" s="325">
        <v>10</v>
      </c>
      <c r="H61" s="276"/>
      <c r="I61" s="361">
        <f>+Linkin!H50</f>
        <v>2077000</v>
      </c>
      <c r="K61" s="207">
        <f>ROUND(VLOOKUP($G61,factors,+K$318)*$I61,0)</f>
        <v>419139</v>
      </c>
      <c r="M61" s="207">
        <f>ROUND(VLOOKUP($G61,factors,+M$318)*$I61,0)</f>
        <v>174260</v>
      </c>
      <c r="N61" s="207"/>
      <c r="O61" s="207">
        <f>ROUND(VLOOKUP($G61,factors,+O$318)*$I61,0)</f>
        <v>76434</v>
      </c>
      <c r="P61" s="207"/>
      <c r="Q61" s="207">
        <f>ROUND(VLOOKUP($G61,factors,+Q$318)*$I61,0)</f>
        <v>56702</v>
      </c>
      <c r="R61" s="207"/>
      <c r="S61" s="206">
        <f>ROUND(VLOOKUP($G61,factors,+S$318)*$I61,0)</f>
        <v>255471</v>
      </c>
      <c r="T61" s="206"/>
      <c r="U61" s="206">
        <f>ROUND(VLOOKUP($G61,factors,+U$318)*$I61,0)</f>
        <v>7062</v>
      </c>
      <c r="W61" s="207">
        <f>ROUND(VLOOKUP($G61,factors,+W$318)*$I61,0)</f>
        <v>758105</v>
      </c>
      <c r="X61" s="207"/>
      <c r="Y61" s="207">
        <f>ROUND(VLOOKUP($G61,factors,+Y$318)*$I61,0)</f>
        <v>209154</v>
      </c>
      <c r="Z61" s="206"/>
      <c r="AA61" s="206">
        <f>ROUND(VLOOKUP($G61,factors,+AA$318)*$I61,0)</f>
        <v>67918</v>
      </c>
      <c r="AB61" s="206"/>
      <c r="AC61" s="206">
        <f>ROUND(VLOOKUP($G61,factors,+AC$318)*$I61,0)</f>
        <v>37801</v>
      </c>
      <c r="AE61" s="206">
        <f>ROUND(VLOOKUP($G61,factors,+AE$318)*$I61,0)</f>
        <v>5193</v>
      </c>
      <c r="AG61" s="206">
        <f>ROUND(VLOOKUP($G61,factors,+AG$318)*$I61,0)</f>
        <v>9762</v>
      </c>
      <c r="AH61" s="207"/>
      <c r="AI61" s="208">
        <f t="shared" si="31"/>
        <v>1</v>
      </c>
    </row>
    <row r="62" spans="2:35">
      <c r="C62" s="210">
        <v>871</v>
      </c>
      <c r="E62" s="276" t="s">
        <v>110</v>
      </c>
      <c r="F62" s="276"/>
      <c r="G62" s="478" t="s">
        <v>565</v>
      </c>
      <c r="H62" s="276"/>
      <c r="I62" s="361">
        <f>+Linkin!H51</f>
        <v>657000</v>
      </c>
      <c r="K62" s="207">
        <f>ROUND(VLOOKUP($G62,factors,+K$318)*$I62,0)</f>
        <v>154395</v>
      </c>
      <c r="M62" s="207">
        <f>ROUND(VLOOKUP($G62,factors,+M$318)*$I62,0)</f>
        <v>64189</v>
      </c>
      <c r="N62" s="207"/>
      <c r="O62" s="207">
        <f>ROUND(VLOOKUP($G62,factors,+O$318)*$I62,0)</f>
        <v>28120</v>
      </c>
      <c r="P62" s="207"/>
      <c r="Q62" s="207">
        <f>ROUND(VLOOKUP($G62,factors,+Q$318)*$I62,0)</f>
        <v>20893</v>
      </c>
      <c r="R62" s="207"/>
      <c r="S62" s="206">
        <f>ROUND(VLOOKUP($G62,factors,+S$318)*$I62,0)</f>
        <v>386776</v>
      </c>
      <c r="T62" s="206"/>
      <c r="U62" s="206">
        <f>ROUND(VLOOKUP($G62,factors,+U$318)*$I62,0)</f>
        <v>2628</v>
      </c>
      <c r="W62" s="207">
        <f>ROUND(VLOOKUP($G62,factors,+W$318)*$I62,0)</f>
        <v>0</v>
      </c>
      <c r="X62" s="207"/>
      <c r="Y62" s="207">
        <f>ROUND(VLOOKUP($G62,factors,+Y$318)*$I62,0)</f>
        <v>0</v>
      </c>
      <c r="Z62" s="206"/>
      <c r="AA62" s="206">
        <f>ROUND(VLOOKUP($G62,factors,+AA$318)*$I62,0)</f>
        <v>0</v>
      </c>
      <c r="AB62" s="206"/>
      <c r="AC62" s="206">
        <f>ROUND(VLOOKUP($G62,factors,+AC$318)*$I62,0)</f>
        <v>0</v>
      </c>
      <c r="AE62" s="206">
        <f>ROUND(VLOOKUP($G62,factors,+AE$318)*$I62,0)</f>
        <v>0</v>
      </c>
      <c r="AG62" s="206">
        <f>ROUND(VLOOKUP($G62,factors,+AG$318)*$I62,0)</f>
        <v>0</v>
      </c>
      <c r="AH62" s="207"/>
      <c r="AI62" s="208">
        <f t="shared" si="31"/>
        <v>1</v>
      </c>
    </row>
    <row r="63" spans="2:35">
      <c r="C63" s="210">
        <v>872</v>
      </c>
      <c r="E63" s="276" t="s">
        <v>494</v>
      </c>
      <c r="F63" s="276"/>
      <c r="G63" s="478"/>
      <c r="H63" s="276"/>
      <c r="I63" s="361">
        <f>+Linkin!H52</f>
        <v>0</v>
      </c>
      <c r="K63" s="207"/>
      <c r="M63" s="207"/>
      <c r="N63" s="207"/>
      <c r="O63" s="207"/>
      <c r="P63" s="207"/>
      <c r="Q63" s="207"/>
      <c r="R63" s="207"/>
      <c r="S63" s="206"/>
      <c r="T63" s="206"/>
      <c r="U63" s="206"/>
      <c r="W63" s="207"/>
      <c r="X63" s="207"/>
      <c r="Y63" s="207"/>
      <c r="Z63" s="206"/>
      <c r="AA63" s="206"/>
      <c r="AB63" s="206"/>
      <c r="AC63" s="206"/>
      <c r="AE63" s="206"/>
      <c r="AG63" s="206"/>
      <c r="AH63" s="207"/>
      <c r="AI63" s="208"/>
    </row>
    <row r="64" spans="2:35">
      <c r="C64" s="210">
        <v>873</v>
      </c>
      <c r="E64" s="324" t="s">
        <v>628</v>
      </c>
      <c r="F64" s="276"/>
      <c r="G64" s="325">
        <v>2</v>
      </c>
      <c r="H64" s="276"/>
      <c r="I64" s="361">
        <f>+Linkin!H53</f>
        <v>0</v>
      </c>
      <c r="K64" s="207">
        <f>ROUND(VLOOKUP($G64,factors,+K$318)*$I64,0)</f>
        <v>0</v>
      </c>
      <c r="M64" s="207">
        <f>ROUND(VLOOKUP($G64,factors,+M$318)*$I64,0)</f>
        <v>0</v>
      </c>
      <c r="N64" s="207"/>
      <c r="O64" s="207">
        <f>ROUND(VLOOKUP($G64,factors,+O$318)*$I64,0)</f>
        <v>0</v>
      </c>
      <c r="P64" s="207"/>
      <c r="Q64" s="207">
        <f>ROUND(VLOOKUP($G64,factors,+Q$318)*$I64,0)</f>
        <v>0</v>
      </c>
      <c r="R64" s="207"/>
      <c r="S64" s="206">
        <f>ROUND(VLOOKUP($G64,factors,+S$318)*$I64,0)</f>
        <v>0</v>
      </c>
      <c r="T64" s="206"/>
      <c r="U64" s="206">
        <f>ROUND(VLOOKUP($G64,factors,+U$318)*$I64,0)</f>
        <v>0</v>
      </c>
      <c r="W64" s="207">
        <f>ROUND(VLOOKUP($G64,factors,+W$318)*$I64,0)</f>
        <v>0</v>
      </c>
      <c r="X64" s="207"/>
      <c r="Y64" s="207">
        <f>ROUND(VLOOKUP($G64,factors,+Y$318)*$I64,0)</f>
        <v>0</v>
      </c>
      <c r="Z64" s="206"/>
      <c r="AA64" s="206">
        <f>ROUND(VLOOKUP($G64,factors,+AA$318)*$I64,0)</f>
        <v>0</v>
      </c>
      <c r="AB64" s="206"/>
      <c r="AC64" s="206">
        <f>ROUND(VLOOKUP($G64,factors,+AC$318)*$I64,0)</f>
        <v>0</v>
      </c>
      <c r="AE64" s="206">
        <f>ROUND(VLOOKUP($G64,factors,+AE$318)*$I64,0)</f>
        <v>0</v>
      </c>
      <c r="AG64" s="206">
        <f>ROUND(VLOOKUP($G64,factors,+AG$318)*$I64,0)</f>
        <v>0</v>
      </c>
      <c r="AH64" s="207"/>
      <c r="AI64" s="208">
        <f t="shared" ref="AI64:AI95" si="36">SUM(K64:AG64)-I64</f>
        <v>0</v>
      </c>
    </row>
    <row r="65" spans="1:459" s="95" customFormat="1">
      <c r="A65" s="206">
        <f>+Linkin!H54</f>
        <v>6831000</v>
      </c>
      <c r="B65" s="198">
        <f>SUM(I66:I68)</f>
        <v>6831000</v>
      </c>
      <c r="C65" s="228">
        <v>874</v>
      </c>
      <c r="E65" s="324" t="s">
        <v>328</v>
      </c>
      <c r="F65" s="324"/>
      <c r="G65" s="478"/>
      <c r="H65" s="324"/>
      <c r="I65" s="361"/>
      <c r="S65" s="198"/>
      <c r="T65" s="198"/>
      <c r="U65" s="198"/>
      <c r="Z65" s="198"/>
      <c r="AA65" s="198"/>
      <c r="AB65" s="198"/>
      <c r="AC65" s="198"/>
      <c r="AE65" s="198"/>
      <c r="AG65" s="198"/>
      <c r="AI65" s="208">
        <f t="shared" si="36"/>
        <v>0</v>
      </c>
    </row>
    <row r="66" spans="1:459" s="95" customFormat="1">
      <c r="A66" s="198">
        <v>3458885</v>
      </c>
      <c r="B66" s="557">
        <v>0.286675254383641</v>
      </c>
      <c r="C66" s="228" t="s">
        <v>218</v>
      </c>
      <c r="E66" s="324" t="s">
        <v>400</v>
      </c>
      <c r="F66" s="324"/>
      <c r="G66" s="478">
        <v>5</v>
      </c>
      <c r="H66" s="324"/>
      <c r="I66" s="326">
        <f>ROUND(A$66*B66,0)</f>
        <v>991577</v>
      </c>
      <c r="K66" s="229">
        <f t="shared" ref="K66:K75" si="37">ROUND(VLOOKUP($G66,factors,+K$318)*$I66,0)</f>
        <v>566290</v>
      </c>
      <c r="M66" s="229">
        <f t="shared" ref="M66:M75" si="38">ROUND(VLOOKUP($G66,factors,+M$318)*$I66,0)</f>
        <v>235599</v>
      </c>
      <c r="N66" s="229"/>
      <c r="O66" s="229">
        <f t="shared" ref="O66:O75" si="39">ROUND(VLOOKUP($G66,factors,+O$318)*$I66,0)</f>
        <v>103322</v>
      </c>
      <c r="P66" s="229"/>
      <c r="Q66" s="229">
        <f t="shared" ref="Q66:Q75" si="40">ROUND(VLOOKUP($G66,factors,+Q$318)*$I66,0)</f>
        <v>76748</v>
      </c>
      <c r="R66" s="229"/>
      <c r="S66" s="198">
        <f t="shared" ref="S66:S75" si="41">ROUND(VLOOKUP($G66,factors,+S$318)*$I66,0)</f>
        <v>0</v>
      </c>
      <c r="T66" s="198"/>
      <c r="U66" s="198">
        <f t="shared" ref="U66:U75" si="42">ROUND(VLOOKUP($G66,factors,+U$318)*$I66,0)</f>
        <v>9618</v>
      </c>
      <c r="W66" s="229">
        <f t="shared" ref="W66:W75" si="43">ROUND(VLOOKUP($G66,factors,+W$318)*$I66,0)</f>
        <v>0</v>
      </c>
      <c r="X66" s="229"/>
      <c r="Y66" s="229">
        <f>ROUND(VLOOKUP($G66,factors,+Y$318)*$I66,0)</f>
        <v>0</v>
      </c>
      <c r="Z66" s="198"/>
      <c r="AA66" s="198">
        <f>ROUND(VLOOKUP($G66,factors,+AA$318)*$I66,0)</f>
        <v>0</v>
      </c>
      <c r="AB66" s="198"/>
      <c r="AC66" s="198">
        <f>ROUND(VLOOKUP($G66,factors,+AC$318)*$I66,0)</f>
        <v>0</v>
      </c>
      <c r="AE66" s="198">
        <f>ROUND(VLOOKUP($G66,factors,+AE$318)*$I66,0)</f>
        <v>0</v>
      </c>
      <c r="AG66" s="198">
        <f>ROUND(VLOOKUP($G66,factors,+AG$318)*$I66,0)</f>
        <v>0</v>
      </c>
      <c r="AH66" s="229"/>
      <c r="AI66" s="208">
        <f t="shared" si="36"/>
        <v>0</v>
      </c>
    </row>
    <row r="67" spans="1:459" s="339" customFormat="1">
      <c r="A67" s="326"/>
      <c r="B67" s="557">
        <v>0.71332474561635906</v>
      </c>
      <c r="C67" s="478"/>
      <c r="D67" s="324"/>
      <c r="E67" s="324" t="s">
        <v>401</v>
      </c>
      <c r="F67" s="324"/>
      <c r="G67" s="478">
        <v>17</v>
      </c>
      <c r="H67" s="324"/>
      <c r="I67" s="326">
        <f>ROUND(A$66*B67,0)</f>
        <v>2467308</v>
      </c>
      <c r="J67" s="95"/>
      <c r="K67" s="482">
        <f t="shared" si="37"/>
        <v>1154947</v>
      </c>
      <c r="L67" s="324"/>
      <c r="M67" s="482">
        <f t="shared" si="38"/>
        <v>480632</v>
      </c>
      <c r="N67" s="482"/>
      <c r="O67" s="482">
        <f t="shared" si="39"/>
        <v>210708</v>
      </c>
      <c r="P67" s="482"/>
      <c r="Q67" s="482">
        <f t="shared" si="40"/>
        <v>156427</v>
      </c>
      <c r="R67" s="482"/>
      <c r="S67" s="326">
        <f t="shared" si="41"/>
        <v>444856</v>
      </c>
      <c r="T67" s="326"/>
      <c r="U67" s="326">
        <f t="shared" si="42"/>
        <v>19738</v>
      </c>
      <c r="V67" s="324"/>
      <c r="W67" s="482">
        <f t="shared" si="43"/>
        <v>0</v>
      </c>
      <c r="X67" s="482"/>
      <c r="Y67" s="482"/>
      <c r="Z67" s="326"/>
      <c r="AA67" s="326"/>
      <c r="AB67" s="326"/>
      <c r="AC67" s="326"/>
      <c r="AD67" s="324"/>
      <c r="AE67" s="326"/>
      <c r="AF67" s="324"/>
      <c r="AG67" s="326"/>
      <c r="AH67" s="482"/>
      <c r="AI67" s="362">
        <f t="shared" si="36"/>
        <v>0</v>
      </c>
      <c r="AJ67" s="324"/>
      <c r="AK67" s="324"/>
      <c r="AL67" s="324"/>
      <c r="AM67" s="324"/>
      <c r="AN67" s="324"/>
      <c r="AO67" s="324"/>
      <c r="AP67" s="324"/>
      <c r="AQ67" s="324"/>
      <c r="AR67" s="324"/>
      <c r="AS67" s="324"/>
      <c r="AT67" s="324"/>
      <c r="AU67" s="324"/>
      <c r="AV67" s="324"/>
      <c r="AW67" s="324"/>
      <c r="AX67" s="324"/>
      <c r="AY67" s="324"/>
      <c r="AZ67" s="324"/>
      <c r="BA67" s="324"/>
      <c r="BB67" s="324"/>
      <c r="BC67" s="324"/>
      <c r="BD67" s="324"/>
      <c r="BE67" s="324"/>
      <c r="BF67" s="324"/>
      <c r="BG67" s="324"/>
      <c r="BH67" s="324"/>
      <c r="BI67" s="324"/>
      <c r="BJ67" s="324"/>
      <c r="BK67" s="324"/>
      <c r="BL67" s="324"/>
      <c r="BM67" s="324"/>
      <c r="BN67" s="324"/>
      <c r="BO67" s="324"/>
      <c r="BP67" s="324"/>
      <c r="BQ67" s="324"/>
      <c r="BR67" s="324"/>
      <c r="BS67" s="324"/>
      <c r="BT67" s="324"/>
      <c r="BU67" s="324"/>
      <c r="BV67" s="324"/>
      <c r="BW67" s="324"/>
      <c r="BX67" s="324"/>
      <c r="BY67" s="324"/>
      <c r="BZ67" s="324"/>
      <c r="CA67" s="324"/>
      <c r="CB67" s="324"/>
      <c r="CC67" s="324"/>
      <c r="CD67" s="324"/>
      <c r="CE67" s="324"/>
      <c r="CF67" s="324"/>
      <c r="CG67" s="324"/>
      <c r="CH67" s="324"/>
      <c r="CI67" s="324"/>
      <c r="CJ67" s="324"/>
      <c r="CK67" s="324"/>
      <c r="CL67" s="324"/>
      <c r="CM67" s="324"/>
      <c r="CN67" s="324"/>
      <c r="CO67" s="324"/>
      <c r="CP67" s="324"/>
      <c r="CQ67" s="324"/>
      <c r="CR67" s="324"/>
      <c r="CS67" s="324"/>
      <c r="CT67" s="324"/>
      <c r="CU67" s="324"/>
      <c r="CV67" s="324"/>
      <c r="CW67" s="324"/>
      <c r="CX67" s="324"/>
      <c r="CY67" s="324"/>
      <c r="CZ67" s="324"/>
      <c r="DA67" s="324"/>
      <c r="DB67" s="324"/>
      <c r="DC67" s="324"/>
      <c r="DD67" s="324"/>
      <c r="DE67" s="324"/>
      <c r="DF67" s="324"/>
      <c r="DG67" s="324"/>
      <c r="DH67" s="324"/>
      <c r="DI67" s="324"/>
      <c r="DJ67" s="324"/>
      <c r="DK67" s="324"/>
      <c r="DL67" s="324"/>
      <c r="DM67" s="324"/>
      <c r="DN67" s="324"/>
      <c r="DO67" s="324"/>
      <c r="DP67" s="324"/>
      <c r="DQ67" s="324"/>
      <c r="DR67" s="324"/>
      <c r="DS67" s="324"/>
      <c r="DT67" s="324"/>
      <c r="DU67" s="324"/>
      <c r="DV67" s="324"/>
      <c r="DW67" s="324"/>
      <c r="DX67" s="324"/>
      <c r="DY67" s="324"/>
      <c r="DZ67" s="324"/>
      <c r="EA67" s="324"/>
      <c r="EB67" s="324"/>
      <c r="EC67" s="324"/>
      <c r="ED67" s="324"/>
      <c r="EE67" s="324"/>
      <c r="EF67" s="324"/>
      <c r="EG67" s="324"/>
      <c r="EH67" s="324"/>
      <c r="EI67" s="324"/>
      <c r="EJ67" s="324"/>
      <c r="EK67" s="324"/>
      <c r="EL67" s="324"/>
      <c r="EM67" s="324"/>
      <c r="EN67" s="324"/>
      <c r="EO67" s="324"/>
      <c r="EP67" s="324"/>
      <c r="EQ67" s="324"/>
      <c r="ER67" s="324"/>
      <c r="ES67" s="324"/>
      <c r="ET67" s="324"/>
      <c r="EU67" s="324"/>
      <c r="EV67" s="324"/>
      <c r="EW67" s="324"/>
      <c r="EX67" s="324"/>
      <c r="EY67" s="324"/>
      <c r="EZ67" s="324"/>
      <c r="FA67" s="324"/>
      <c r="FB67" s="324"/>
      <c r="FC67" s="324"/>
      <c r="FD67" s="324"/>
      <c r="FE67" s="324"/>
      <c r="FF67" s="324"/>
      <c r="FG67" s="324"/>
      <c r="FH67" s="324"/>
      <c r="FI67" s="324"/>
      <c r="FJ67" s="324"/>
      <c r="FK67" s="324"/>
      <c r="FL67" s="324"/>
      <c r="FM67" s="324"/>
      <c r="FN67" s="324"/>
      <c r="FO67" s="324"/>
      <c r="FP67" s="324"/>
      <c r="FQ67" s="324"/>
      <c r="FR67" s="324"/>
      <c r="FS67" s="324"/>
      <c r="FT67" s="324"/>
      <c r="FU67" s="324"/>
      <c r="FV67" s="324"/>
      <c r="FW67" s="324"/>
      <c r="FX67" s="324"/>
      <c r="FY67" s="324"/>
      <c r="FZ67" s="324"/>
      <c r="GA67" s="324"/>
      <c r="GB67" s="324"/>
      <c r="GC67" s="324"/>
      <c r="GD67" s="324"/>
      <c r="GE67" s="324"/>
      <c r="GF67" s="324"/>
      <c r="GG67" s="324"/>
      <c r="GH67" s="324"/>
      <c r="GI67" s="324"/>
      <c r="GJ67" s="324"/>
      <c r="GK67" s="324"/>
      <c r="GL67" s="324"/>
      <c r="GM67" s="324"/>
      <c r="GN67" s="324"/>
      <c r="GO67" s="324"/>
      <c r="GP67" s="324"/>
      <c r="GQ67" s="324"/>
      <c r="GR67" s="324"/>
      <c r="GS67" s="324"/>
      <c r="GT67" s="324"/>
      <c r="GU67" s="324"/>
      <c r="GV67" s="324"/>
      <c r="GW67" s="324"/>
      <c r="GX67" s="324"/>
      <c r="GY67" s="324"/>
      <c r="GZ67" s="324"/>
      <c r="HA67" s="324"/>
      <c r="HB67" s="324"/>
      <c r="HC67" s="324"/>
      <c r="HD67" s="324"/>
      <c r="HE67" s="324"/>
      <c r="HF67" s="324"/>
      <c r="HG67" s="324"/>
      <c r="HH67" s="324"/>
      <c r="HI67" s="324"/>
      <c r="HJ67" s="324"/>
      <c r="HK67" s="324"/>
      <c r="HL67" s="324"/>
      <c r="HM67" s="324"/>
      <c r="HN67" s="324"/>
      <c r="HO67" s="324"/>
      <c r="HP67" s="324"/>
      <c r="HQ67" s="324"/>
      <c r="HR67" s="324"/>
      <c r="HS67" s="324"/>
      <c r="HT67" s="324"/>
      <c r="HU67" s="324"/>
      <c r="HV67" s="324"/>
      <c r="HW67" s="324"/>
      <c r="HX67" s="324"/>
      <c r="HY67" s="324"/>
      <c r="HZ67" s="324"/>
      <c r="IA67" s="324"/>
      <c r="IB67" s="324"/>
      <c r="IC67" s="324"/>
      <c r="ID67" s="324"/>
      <c r="IE67" s="324"/>
      <c r="IF67" s="324"/>
      <c r="IG67" s="324"/>
      <c r="IH67" s="324"/>
      <c r="II67" s="324"/>
      <c r="IJ67" s="324"/>
      <c r="IK67" s="324"/>
      <c r="IL67" s="324"/>
      <c r="IM67" s="324"/>
      <c r="IN67" s="324"/>
      <c r="IO67" s="324"/>
      <c r="IP67" s="324"/>
      <c r="IQ67" s="324"/>
      <c r="IR67" s="324"/>
      <c r="IS67" s="324"/>
      <c r="IT67" s="324"/>
      <c r="IU67" s="324"/>
      <c r="IV67" s="324"/>
      <c r="IW67" s="324"/>
      <c r="IX67" s="324"/>
      <c r="IY67" s="324"/>
      <c r="IZ67" s="324"/>
      <c r="JA67" s="324"/>
      <c r="JB67" s="324"/>
      <c r="JC67" s="324"/>
      <c r="JD67" s="324"/>
      <c r="JE67" s="324"/>
      <c r="JF67" s="324"/>
      <c r="JG67" s="324"/>
      <c r="JH67" s="324"/>
      <c r="JI67" s="324"/>
      <c r="JJ67" s="324"/>
      <c r="JK67" s="324"/>
      <c r="JL67" s="324"/>
      <c r="JM67" s="324"/>
      <c r="JN67" s="324"/>
      <c r="JO67" s="324"/>
      <c r="JP67" s="324"/>
      <c r="JQ67" s="324"/>
      <c r="JR67" s="324"/>
      <c r="JS67" s="324"/>
      <c r="JT67" s="324"/>
      <c r="JU67" s="324"/>
      <c r="JV67" s="324"/>
      <c r="JW67" s="324"/>
      <c r="JX67" s="324"/>
      <c r="JY67" s="324"/>
      <c r="JZ67" s="324"/>
      <c r="KA67" s="324"/>
      <c r="KB67" s="324"/>
      <c r="KC67" s="324"/>
      <c r="KD67" s="324"/>
      <c r="KE67" s="324"/>
      <c r="KF67" s="324"/>
      <c r="KG67" s="324"/>
      <c r="KH67" s="324"/>
      <c r="KI67" s="324"/>
      <c r="KJ67" s="324"/>
      <c r="KK67" s="324"/>
      <c r="KL67" s="324"/>
      <c r="KM67" s="324"/>
      <c r="KN67" s="324"/>
      <c r="KO67" s="324"/>
      <c r="KP67" s="324"/>
      <c r="KQ67" s="324"/>
      <c r="KR67" s="324"/>
      <c r="KS67" s="324"/>
      <c r="KT67" s="324"/>
      <c r="KU67" s="324"/>
      <c r="KV67" s="324"/>
      <c r="KW67" s="324"/>
      <c r="KX67" s="324"/>
      <c r="KY67" s="324"/>
      <c r="KZ67" s="324"/>
      <c r="LA67" s="324"/>
      <c r="LB67" s="324"/>
      <c r="LC67" s="324"/>
      <c r="LD67" s="324"/>
      <c r="LE67" s="324"/>
      <c r="LF67" s="324"/>
      <c r="LG67" s="324"/>
      <c r="LH67" s="324"/>
      <c r="LI67" s="324"/>
      <c r="LJ67" s="324"/>
      <c r="LK67" s="324"/>
      <c r="LL67" s="324"/>
      <c r="LM67" s="324"/>
      <c r="LN67" s="324"/>
      <c r="LO67" s="324"/>
      <c r="LP67" s="324"/>
      <c r="LQ67" s="324"/>
      <c r="LR67" s="324"/>
      <c r="LS67" s="324"/>
      <c r="LT67" s="324"/>
      <c r="LU67" s="324"/>
      <c r="LV67" s="324"/>
      <c r="LW67" s="324"/>
      <c r="LX67" s="324"/>
      <c r="LY67" s="324"/>
      <c r="LZ67" s="324"/>
      <c r="MA67" s="324"/>
      <c r="MB67" s="324"/>
      <c r="MC67" s="324"/>
      <c r="MD67" s="324"/>
      <c r="ME67" s="324"/>
      <c r="MF67" s="324"/>
      <c r="MG67" s="324"/>
      <c r="MH67" s="324"/>
      <c r="MI67" s="324"/>
      <c r="MJ67" s="324"/>
      <c r="MK67" s="324"/>
      <c r="ML67" s="324"/>
      <c r="MM67" s="324"/>
      <c r="MN67" s="324"/>
      <c r="MO67" s="324"/>
      <c r="MP67" s="324"/>
      <c r="MQ67" s="324"/>
      <c r="MR67" s="324"/>
      <c r="MS67" s="324"/>
      <c r="MT67" s="324"/>
      <c r="MU67" s="324"/>
      <c r="MV67" s="324"/>
      <c r="MW67" s="324"/>
      <c r="MX67" s="324"/>
      <c r="MY67" s="324"/>
      <c r="MZ67" s="324"/>
      <c r="NA67" s="324"/>
      <c r="NB67" s="324"/>
      <c r="NC67" s="324"/>
      <c r="ND67" s="324"/>
      <c r="NE67" s="324"/>
      <c r="NF67" s="324"/>
      <c r="NG67" s="324"/>
      <c r="NH67" s="324"/>
      <c r="NI67" s="324"/>
      <c r="NJ67" s="324"/>
      <c r="NK67" s="324"/>
      <c r="NL67" s="324"/>
      <c r="NM67" s="324"/>
      <c r="NN67" s="324"/>
      <c r="NO67" s="324"/>
      <c r="NP67" s="324"/>
      <c r="NQ67" s="324"/>
      <c r="NR67" s="324"/>
      <c r="NS67" s="324"/>
      <c r="NT67" s="324"/>
      <c r="NU67" s="324"/>
      <c r="NV67" s="324"/>
      <c r="NW67" s="324"/>
      <c r="NX67" s="324"/>
      <c r="NY67" s="324"/>
      <c r="NZ67" s="324"/>
      <c r="OA67" s="324"/>
      <c r="OB67" s="324"/>
      <c r="OC67" s="324"/>
      <c r="OD67" s="324"/>
      <c r="OE67" s="324"/>
      <c r="OF67" s="324"/>
      <c r="OG67" s="324"/>
      <c r="OH67" s="324"/>
      <c r="OI67" s="324"/>
      <c r="OJ67" s="324"/>
      <c r="OK67" s="324"/>
      <c r="OL67" s="324"/>
      <c r="OM67" s="324"/>
      <c r="ON67" s="324"/>
      <c r="OO67" s="324"/>
      <c r="OP67" s="324"/>
      <c r="OQ67" s="324"/>
      <c r="OR67" s="324"/>
      <c r="OS67" s="324"/>
      <c r="OT67" s="324"/>
      <c r="OU67" s="324"/>
      <c r="OV67" s="324"/>
      <c r="OW67" s="324"/>
      <c r="OX67" s="324"/>
      <c r="OY67" s="324"/>
      <c r="OZ67" s="324"/>
      <c r="PA67" s="324"/>
      <c r="PB67" s="324"/>
      <c r="PC67" s="324"/>
      <c r="PD67" s="324"/>
      <c r="PE67" s="324"/>
      <c r="PF67" s="324"/>
      <c r="PG67" s="324"/>
      <c r="PH67" s="324"/>
      <c r="PI67" s="324"/>
      <c r="PJ67" s="324"/>
      <c r="PK67" s="324"/>
      <c r="PL67" s="324"/>
      <c r="PM67" s="324"/>
      <c r="PN67" s="324"/>
      <c r="PO67" s="324"/>
      <c r="PP67" s="324"/>
      <c r="PQ67" s="324"/>
      <c r="PR67" s="324"/>
      <c r="PS67" s="324"/>
      <c r="PT67" s="324"/>
      <c r="PU67" s="324"/>
      <c r="PV67" s="324"/>
      <c r="PW67" s="324"/>
      <c r="PX67" s="324"/>
      <c r="PY67" s="324"/>
      <c r="PZ67" s="324"/>
      <c r="QA67" s="324"/>
      <c r="QB67" s="324"/>
      <c r="QC67" s="324"/>
      <c r="QD67" s="324"/>
      <c r="QE67" s="324"/>
      <c r="QF67" s="324"/>
      <c r="QG67" s="324"/>
      <c r="QH67" s="324"/>
      <c r="QI67" s="324"/>
      <c r="QJ67" s="324"/>
      <c r="QK67" s="324"/>
      <c r="QL67" s="324"/>
      <c r="QM67" s="324"/>
      <c r="QN67" s="324"/>
      <c r="QO67" s="324"/>
      <c r="QP67" s="324"/>
      <c r="QQ67" s="324"/>
    </row>
    <row r="68" spans="1:459" s="339" customFormat="1">
      <c r="A68" s="558">
        <v>3372115</v>
      </c>
      <c r="B68" s="726">
        <f>+A68/A65</f>
        <v>0.4936488069096765</v>
      </c>
      <c r="C68" s="478" t="s">
        <v>218</v>
      </c>
      <c r="D68" s="324"/>
      <c r="E68" s="324" t="s">
        <v>306</v>
      </c>
      <c r="F68" s="324"/>
      <c r="G68" s="478" t="s">
        <v>403</v>
      </c>
      <c r="H68" s="324"/>
      <c r="I68" s="326">
        <f>+A68</f>
        <v>3372115</v>
      </c>
      <c r="J68" s="95"/>
      <c r="K68" s="482">
        <f t="shared" si="37"/>
        <v>0</v>
      </c>
      <c r="L68" s="324"/>
      <c r="M68" s="482">
        <f t="shared" si="38"/>
        <v>0</v>
      </c>
      <c r="N68" s="482"/>
      <c r="O68" s="482">
        <f t="shared" si="39"/>
        <v>0</v>
      </c>
      <c r="P68" s="482"/>
      <c r="Q68" s="482">
        <f t="shared" si="40"/>
        <v>0</v>
      </c>
      <c r="R68" s="482"/>
      <c r="S68" s="326">
        <f t="shared" si="41"/>
        <v>0</v>
      </c>
      <c r="T68" s="326"/>
      <c r="U68" s="326">
        <f t="shared" si="42"/>
        <v>0</v>
      </c>
      <c r="V68" s="324"/>
      <c r="W68" s="482">
        <f t="shared" si="43"/>
        <v>2915868</v>
      </c>
      <c r="X68" s="482"/>
      <c r="Y68" s="482">
        <f t="shared" ref="Y68:Y75" si="44">ROUND(VLOOKUP($G68,factors,+Y$318)*$I68,0)</f>
        <v>416119</v>
      </c>
      <c r="Z68" s="326"/>
      <c r="AA68" s="326">
        <f t="shared" ref="AA68:AA75" si="45">ROUND(VLOOKUP($G68,factors,+AA$318)*$I68,0)</f>
        <v>23942</v>
      </c>
      <c r="AB68" s="326"/>
      <c r="AC68" s="326">
        <f t="shared" ref="AC68:AC75" si="46">ROUND(VLOOKUP($G68,factors,+AC$318)*$I68,0)</f>
        <v>11128</v>
      </c>
      <c r="AD68" s="324"/>
      <c r="AE68" s="326">
        <f t="shared" ref="AE68:AE75" si="47">ROUND(VLOOKUP($G68,factors,+AE$318)*$I68,0)</f>
        <v>2360</v>
      </c>
      <c r="AF68" s="324"/>
      <c r="AG68" s="326">
        <f t="shared" ref="AG68:AG75" si="48">ROUND(VLOOKUP($G68,factors,+AG$318)*$I68,0)</f>
        <v>2698</v>
      </c>
      <c r="AH68" s="482"/>
      <c r="AI68" s="362">
        <f t="shared" si="36"/>
        <v>0</v>
      </c>
      <c r="AJ68" s="324"/>
      <c r="AK68" s="324"/>
      <c r="AL68" s="324"/>
      <c r="AM68" s="324"/>
      <c r="AN68" s="324"/>
      <c r="AO68" s="324"/>
      <c r="AP68" s="324"/>
      <c r="AQ68" s="324"/>
      <c r="AR68" s="324"/>
      <c r="AS68" s="324"/>
      <c r="AT68" s="324"/>
      <c r="AU68" s="324"/>
      <c r="AV68" s="324"/>
      <c r="AW68" s="324"/>
      <c r="AX68" s="324"/>
      <c r="AY68" s="324"/>
      <c r="AZ68" s="324"/>
      <c r="BA68" s="324"/>
      <c r="BB68" s="324"/>
      <c r="BC68" s="324"/>
      <c r="BD68" s="324"/>
      <c r="BE68" s="324"/>
      <c r="BF68" s="324"/>
      <c r="BG68" s="324"/>
      <c r="BH68" s="324"/>
      <c r="BI68" s="324"/>
      <c r="BJ68" s="324"/>
      <c r="BK68" s="324"/>
      <c r="BL68" s="324"/>
      <c r="BM68" s="324"/>
      <c r="BN68" s="324"/>
      <c r="BO68" s="324"/>
      <c r="BP68" s="324"/>
      <c r="BQ68" s="324"/>
      <c r="BR68" s="324"/>
      <c r="BS68" s="324"/>
      <c r="BT68" s="324"/>
      <c r="BU68" s="324"/>
      <c r="BV68" s="324"/>
      <c r="BW68" s="324"/>
      <c r="BX68" s="324"/>
      <c r="BY68" s="324"/>
      <c r="BZ68" s="324"/>
      <c r="CA68" s="324"/>
      <c r="CB68" s="324"/>
      <c r="CC68" s="324"/>
      <c r="CD68" s="324"/>
      <c r="CE68" s="324"/>
      <c r="CF68" s="324"/>
      <c r="CG68" s="324"/>
      <c r="CH68" s="324"/>
      <c r="CI68" s="324"/>
      <c r="CJ68" s="324"/>
      <c r="CK68" s="324"/>
      <c r="CL68" s="324"/>
      <c r="CM68" s="324"/>
      <c r="CN68" s="324"/>
      <c r="CO68" s="324"/>
      <c r="CP68" s="324"/>
      <c r="CQ68" s="324"/>
      <c r="CR68" s="324"/>
      <c r="CS68" s="324"/>
      <c r="CT68" s="324"/>
      <c r="CU68" s="324"/>
      <c r="CV68" s="324"/>
      <c r="CW68" s="324"/>
      <c r="CX68" s="324"/>
      <c r="CY68" s="324"/>
      <c r="CZ68" s="324"/>
      <c r="DA68" s="324"/>
      <c r="DB68" s="324"/>
      <c r="DC68" s="324"/>
      <c r="DD68" s="324"/>
      <c r="DE68" s="324"/>
      <c r="DF68" s="324"/>
      <c r="DG68" s="324"/>
      <c r="DH68" s="324"/>
      <c r="DI68" s="324"/>
      <c r="DJ68" s="324"/>
      <c r="DK68" s="324"/>
      <c r="DL68" s="324"/>
      <c r="DM68" s="324"/>
      <c r="DN68" s="324"/>
      <c r="DO68" s="324"/>
      <c r="DP68" s="324"/>
      <c r="DQ68" s="324"/>
      <c r="DR68" s="324"/>
      <c r="DS68" s="324"/>
      <c r="DT68" s="324"/>
      <c r="DU68" s="324"/>
      <c r="DV68" s="324"/>
      <c r="DW68" s="324"/>
      <c r="DX68" s="324"/>
      <c r="DY68" s="324"/>
      <c r="DZ68" s="324"/>
      <c r="EA68" s="324"/>
      <c r="EB68" s="324"/>
      <c r="EC68" s="324"/>
      <c r="ED68" s="324"/>
      <c r="EE68" s="324"/>
      <c r="EF68" s="324"/>
      <c r="EG68" s="324"/>
      <c r="EH68" s="324"/>
      <c r="EI68" s="324"/>
      <c r="EJ68" s="324"/>
      <c r="EK68" s="324"/>
      <c r="EL68" s="324"/>
      <c r="EM68" s="324"/>
      <c r="EN68" s="324"/>
      <c r="EO68" s="324"/>
      <c r="EP68" s="324"/>
      <c r="EQ68" s="324"/>
      <c r="ER68" s="324"/>
      <c r="ES68" s="324"/>
      <c r="ET68" s="324"/>
      <c r="EU68" s="324"/>
      <c r="EV68" s="324"/>
      <c r="EW68" s="324"/>
      <c r="EX68" s="324"/>
      <c r="EY68" s="324"/>
      <c r="EZ68" s="324"/>
      <c r="FA68" s="324"/>
      <c r="FB68" s="324"/>
      <c r="FC68" s="324"/>
      <c r="FD68" s="324"/>
      <c r="FE68" s="324"/>
      <c r="FF68" s="324"/>
      <c r="FG68" s="324"/>
      <c r="FH68" s="324"/>
      <c r="FI68" s="324"/>
      <c r="FJ68" s="324"/>
      <c r="FK68" s="324"/>
      <c r="FL68" s="324"/>
      <c r="FM68" s="324"/>
      <c r="FN68" s="324"/>
      <c r="FO68" s="324"/>
      <c r="FP68" s="324"/>
      <c r="FQ68" s="324"/>
      <c r="FR68" s="324"/>
      <c r="FS68" s="324"/>
      <c r="FT68" s="324"/>
      <c r="FU68" s="324"/>
      <c r="FV68" s="324"/>
      <c r="FW68" s="324"/>
      <c r="FX68" s="324"/>
      <c r="FY68" s="324"/>
      <c r="FZ68" s="324"/>
      <c r="GA68" s="324"/>
      <c r="GB68" s="324"/>
      <c r="GC68" s="324"/>
      <c r="GD68" s="324"/>
      <c r="GE68" s="324"/>
      <c r="GF68" s="324"/>
      <c r="GG68" s="324"/>
      <c r="GH68" s="324"/>
      <c r="GI68" s="324"/>
      <c r="GJ68" s="324"/>
      <c r="GK68" s="324"/>
      <c r="GL68" s="324"/>
      <c r="GM68" s="324"/>
      <c r="GN68" s="324"/>
      <c r="GO68" s="324"/>
      <c r="GP68" s="324"/>
      <c r="GQ68" s="324"/>
      <c r="GR68" s="324"/>
      <c r="GS68" s="324"/>
      <c r="GT68" s="324"/>
      <c r="GU68" s="324"/>
      <c r="GV68" s="324"/>
      <c r="GW68" s="324"/>
      <c r="GX68" s="324"/>
      <c r="GY68" s="324"/>
      <c r="GZ68" s="324"/>
      <c r="HA68" s="324"/>
      <c r="HB68" s="324"/>
      <c r="HC68" s="324"/>
      <c r="HD68" s="324"/>
      <c r="HE68" s="324"/>
      <c r="HF68" s="324"/>
      <c r="HG68" s="324"/>
      <c r="HH68" s="324"/>
      <c r="HI68" s="324"/>
      <c r="HJ68" s="324"/>
      <c r="HK68" s="324"/>
      <c r="HL68" s="324"/>
      <c r="HM68" s="324"/>
      <c r="HN68" s="324"/>
      <c r="HO68" s="324"/>
      <c r="HP68" s="324"/>
      <c r="HQ68" s="324"/>
      <c r="HR68" s="324"/>
      <c r="HS68" s="324"/>
      <c r="HT68" s="324"/>
      <c r="HU68" s="324"/>
      <c r="HV68" s="324"/>
      <c r="HW68" s="324"/>
      <c r="HX68" s="324"/>
      <c r="HY68" s="324"/>
      <c r="HZ68" s="324"/>
      <c r="IA68" s="324"/>
      <c r="IB68" s="324"/>
      <c r="IC68" s="324"/>
      <c r="ID68" s="324"/>
      <c r="IE68" s="324"/>
      <c r="IF68" s="324"/>
      <c r="IG68" s="324"/>
      <c r="IH68" s="324"/>
      <c r="II68" s="324"/>
      <c r="IJ68" s="324"/>
      <c r="IK68" s="324"/>
      <c r="IL68" s="324"/>
      <c r="IM68" s="324"/>
      <c r="IN68" s="324"/>
      <c r="IO68" s="324"/>
      <c r="IP68" s="324"/>
      <c r="IQ68" s="324"/>
      <c r="IR68" s="324"/>
      <c r="IS68" s="324"/>
      <c r="IT68" s="324"/>
      <c r="IU68" s="324"/>
      <c r="IV68" s="324"/>
      <c r="IW68" s="324"/>
      <c r="IX68" s="324"/>
      <c r="IY68" s="324"/>
      <c r="IZ68" s="324"/>
      <c r="JA68" s="324"/>
      <c r="JB68" s="324"/>
      <c r="JC68" s="324"/>
      <c r="JD68" s="324"/>
      <c r="JE68" s="324"/>
      <c r="JF68" s="324"/>
      <c r="JG68" s="324"/>
      <c r="JH68" s="324"/>
      <c r="JI68" s="324"/>
      <c r="JJ68" s="324"/>
      <c r="JK68" s="324"/>
      <c r="JL68" s="324"/>
      <c r="JM68" s="324"/>
      <c r="JN68" s="324"/>
      <c r="JO68" s="324"/>
      <c r="JP68" s="324"/>
      <c r="JQ68" s="324"/>
      <c r="JR68" s="324"/>
      <c r="JS68" s="324"/>
      <c r="JT68" s="324"/>
      <c r="JU68" s="324"/>
      <c r="JV68" s="324"/>
      <c r="JW68" s="324"/>
      <c r="JX68" s="324"/>
      <c r="JY68" s="324"/>
      <c r="JZ68" s="324"/>
      <c r="KA68" s="324"/>
      <c r="KB68" s="324"/>
      <c r="KC68" s="324"/>
      <c r="KD68" s="324"/>
      <c r="KE68" s="324"/>
      <c r="KF68" s="324"/>
      <c r="KG68" s="324"/>
      <c r="KH68" s="324"/>
      <c r="KI68" s="324"/>
      <c r="KJ68" s="324"/>
      <c r="KK68" s="324"/>
      <c r="KL68" s="324"/>
      <c r="KM68" s="324"/>
      <c r="KN68" s="324"/>
      <c r="KO68" s="324"/>
      <c r="KP68" s="324"/>
      <c r="KQ68" s="324"/>
      <c r="KR68" s="324"/>
      <c r="KS68" s="324"/>
      <c r="KT68" s="324"/>
      <c r="KU68" s="324"/>
      <c r="KV68" s="324"/>
      <c r="KW68" s="324"/>
      <c r="KX68" s="324"/>
      <c r="KY68" s="324"/>
      <c r="KZ68" s="324"/>
      <c r="LA68" s="324"/>
      <c r="LB68" s="324"/>
      <c r="LC68" s="324"/>
      <c r="LD68" s="324"/>
      <c r="LE68" s="324"/>
      <c r="LF68" s="324"/>
      <c r="LG68" s="324"/>
      <c r="LH68" s="324"/>
      <c r="LI68" s="324"/>
      <c r="LJ68" s="324"/>
      <c r="LK68" s="324"/>
      <c r="LL68" s="324"/>
      <c r="LM68" s="324"/>
      <c r="LN68" s="324"/>
      <c r="LO68" s="324"/>
      <c r="LP68" s="324"/>
      <c r="LQ68" s="324"/>
      <c r="LR68" s="324"/>
      <c r="LS68" s="324"/>
      <c r="LT68" s="324"/>
      <c r="LU68" s="324"/>
      <c r="LV68" s="324"/>
      <c r="LW68" s="324"/>
      <c r="LX68" s="324"/>
      <c r="LY68" s="324"/>
      <c r="LZ68" s="324"/>
      <c r="MA68" s="324"/>
      <c r="MB68" s="324"/>
      <c r="MC68" s="324"/>
      <c r="MD68" s="324"/>
      <c r="ME68" s="324"/>
      <c r="MF68" s="324"/>
      <c r="MG68" s="324"/>
      <c r="MH68" s="324"/>
      <c r="MI68" s="324"/>
      <c r="MJ68" s="324"/>
      <c r="MK68" s="324"/>
      <c r="ML68" s="324"/>
      <c r="MM68" s="324"/>
      <c r="MN68" s="324"/>
      <c r="MO68" s="324"/>
      <c r="MP68" s="324"/>
      <c r="MQ68" s="324"/>
      <c r="MR68" s="324"/>
      <c r="MS68" s="324"/>
      <c r="MT68" s="324"/>
      <c r="MU68" s="324"/>
      <c r="MV68" s="324"/>
      <c r="MW68" s="324"/>
      <c r="MX68" s="324"/>
      <c r="MY68" s="324"/>
      <c r="MZ68" s="324"/>
      <c r="NA68" s="324"/>
      <c r="NB68" s="324"/>
      <c r="NC68" s="324"/>
      <c r="ND68" s="324"/>
      <c r="NE68" s="324"/>
      <c r="NF68" s="324"/>
      <c r="NG68" s="324"/>
      <c r="NH68" s="324"/>
      <c r="NI68" s="324"/>
      <c r="NJ68" s="324"/>
      <c r="NK68" s="324"/>
      <c r="NL68" s="324"/>
      <c r="NM68" s="324"/>
      <c r="NN68" s="324"/>
      <c r="NO68" s="324"/>
      <c r="NP68" s="324"/>
      <c r="NQ68" s="324"/>
      <c r="NR68" s="324"/>
      <c r="NS68" s="324"/>
      <c r="NT68" s="324"/>
      <c r="NU68" s="324"/>
      <c r="NV68" s="324"/>
      <c r="NW68" s="324"/>
      <c r="NX68" s="324"/>
      <c r="NY68" s="324"/>
      <c r="NZ68" s="324"/>
      <c r="OA68" s="324"/>
      <c r="OB68" s="324"/>
      <c r="OC68" s="324"/>
      <c r="OD68" s="324"/>
      <c r="OE68" s="324"/>
      <c r="OF68" s="324"/>
      <c r="OG68" s="324"/>
      <c r="OH68" s="324"/>
      <c r="OI68" s="324"/>
      <c r="OJ68" s="324"/>
      <c r="OK68" s="324"/>
      <c r="OL68" s="324"/>
      <c r="OM68" s="324"/>
      <c r="ON68" s="324"/>
      <c r="OO68" s="324"/>
      <c r="OP68" s="324"/>
      <c r="OQ68" s="324"/>
      <c r="OR68" s="324"/>
      <c r="OS68" s="324"/>
      <c r="OT68" s="324"/>
      <c r="OU68" s="324"/>
      <c r="OV68" s="324"/>
      <c r="OW68" s="324"/>
      <c r="OX68" s="324"/>
      <c r="OY68" s="324"/>
      <c r="OZ68" s="324"/>
      <c r="PA68" s="324"/>
      <c r="PB68" s="324"/>
      <c r="PC68" s="324"/>
      <c r="PD68" s="324"/>
      <c r="PE68" s="324"/>
      <c r="PF68" s="324"/>
      <c r="PG68" s="324"/>
      <c r="PH68" s="324"/>
      <c r="PI68" s="324"/>
      <c r="PJ68" s="324"/>
      <c r="PK68" s="324"/>
      <c r="PL68" s="324"/>
      <c r="PM68" s="324"/>
      <c r="PN68" s="324"/>
      <c r="PO68" s="324"/>
      <c r="PP68" s="324"/>
      <c r="PQ68" s="324"/>
      <c r="PR68" s="324"/>
      <c r="PS68" s="324"/>
      <c r="PT68" s="324"/>
      <c r="PU68" s="324"/>
      <c r="PV68" s="324"/>
      <c r="PW68" s="324"/>
      <c r="PX68" s="324"/>
      <c r="PY68" s="324"/>
      <c r="PZ68" s="324"/>
      <c r="QA68" s="324"/>
      <c r="QB68" s="324"/>
      <c r="QC68" s="324"/>
      <c r="QD68" s="324"/>
      <c r="QE68" s="324"/>
      <c r="QF68" s="324"/>
      <c r="QG68" s="324"/>
      <c r="QH68" s="324"/>
      <c r="QI68" s="324"/>
      <c r="QJ68" s="324"/>
      <c r="QK68" s="324"/>
      <c r="QL68" s="324"/>
      <c r="QM68" s="324"/>
      <c r="QN68" s="324"/>
      <c r="QO68" s="324"/>
      <c r="QP68" s="324"/>
      <c r="QQ68" s="324"/>
    </row>
    <row r="69" spans="1:459">
      <c r="A69" s="276"/>
      <c r="B69" s="276"/>
      <c r="C69" s="210">
        <v>875</v>
      </c>
      <c r="E69" s="324" t="s">
        <v>112</v>
      </c>
      <c r="F69" s="324"/>
      <c r="G69" s="478" t="s">
        <v>565</v>
      </c>
      <c r="H69" s="324"/>
      <c r="I69" s="326">
        <f>+Linkin!H55</f>
        <v>680000</v>
      </c>
      <c r="K69" s="207">
        <f t="shared" si="37"/>
        <v>159800</v>
      </c>
      <c r="M69" s="207">
        <f t="shared" si="38"/>
        <v>66436</v>
      </c>
      <c r="N69" s="207"/>
      <c r="O69" s="207">
        <f t="shared" si="39"/>
        <v>29104</v>
      </c>
      <c r="P69" s="207"/>
      <c r="Q69" s="207">
        <f t="shared" si="40"/>
        <v>21624</v>
      </c>
      <c r="R69" s="207"/>
      <c r="S69" s="206">
        <f t="shared" si="41"/>
        <v>400316</v>
      </c>
      <c r="T69" s="206"/>
      <c r="U69" s="206">
        <f t="shared" si="42"/>
        <v>2720</v>
      </c>
      <c r="W69" s="207">
        <f t="shared" si="43"/>
        <v>0</v>
      </c>
      <c r="X69" s="207"/>
      <c r="Y69" s="207">
        <f t="shared" si="44"/>
        <v>0</v>
      </c>
      <c r="Z69" s="206"/>
      <c r="AA69" s="206">
        <f t="shared" si="45"/>
        <v>0</v>
      </c>
      <c r="AB69" s="206"/>
      <c r="AC69" s="206">
        <f t="shared" si="46"/>
        <v>0</v>
      </c>
      <c r="AE69" s="206">
        <f t="shared" si="47"/>
        <v>0</v>
      </c>
      <c r="AG69" s="206">
        <f t="shared" si="48"/>
        <v>0</v>
      </c>
      <c r="AH69" s="207"/>
      <c r="AI69" s="208">
        <f t="shared" si="36"/>
        <v>0</v>
      </c>
    </row>
    <row r="70" spans="1:459" s="54" customFormat="1">
      <c r="A70" s="200"/>
      <c r="B70" s="200"/>
      <c r="C70" s="210">
        <v>876</v>
      </c>
      <c r="D70" s="200"/>
      <c r="E70" s="276" t="s">
        <v>285</v>
      </c>
      <c r="F70" s="276"/>
      <c r="G70" s="325" t="s">
        <v>330</v>
      </c>
      <c r="H70" s="276"/>
      <c r="I70" s="326">
        <f>+Linkin!H56</f>
        <v>82000</v>
      </c>
      <c r="J70" s="200"/>
      <c r="K70" s="207">
        <f t="shared" si="37"/>
        <v>0</v>
      </c>
      <c r="L70" s="200"/>
      <c r="M70" s="207">
        <f t="shared" si="38"/>
        <v>0</v>
      </c>
      <c r="N70" s="207"/>
      <c r="O70" s="207">
        <f t="shared" si="39"/>
        <v>0</v>
      </c>
      <c r="P70" s="207"/>
      <c r="Q70" s="207">
        <f t="shared" si="40"/>
        <v>0</v>
      </c>
      <c r="R70" s="207"/>
      <c r="S70" s="206">
        <f t="shared" si="41"/>
        <v>0</v>
      </c>
      <c r="T70" s="206"/>
      <c r="U70" s="206">
        <f t="shared" si="42"/>
        <v>0</v>
      </c>
      <c r="V70" s="200"/>
      <c r="W70" s="207">
        <f t="shared" si="43"/>
        <v>0</v>
      </c>
      <c r="X70" s="207"/>
      <c r="Y70" s="207">
        <f t="shared" si="44"/>
        <v>0</v>
      </c>
      <c r="Z70" s="206"/>
      <c r="AA70" s="206">
        <f t="shared" si="45"/>
        <v>0</v>
      </c>
      <c r="AB70" s="206"/>
      <c r="AC70" s="206">
        <f t="shared" si="46"/>
        <v>49233</v>
      </c>
      <c r="AD70" s="200"/>
      <c r="AE70" s="206">
        <f t="shared" si="47"/>
        <v>17761</v>
      </c>
      <c r="AF70" s="200"/>
      <c r="AG70" s="206">
        <f t="shared" si="48"/>
        <v>15006</v>
      </c>
      <c r="AH70" s="207"/>
      <c r="AI70" s="208">
        <f t="shared" si="36"/>
        <v>0</v>
      </c>
      <c r="AJ70" s="200"/>
      <c r="AK70" s="200"/>
    </row>
    <row r="71" spans="1:459" s="54" customFormat="1">
      <c r="A71" s="200"/>
      <c r="B71" s="200"/>
      <c r="C71" s="210">
        <v>877</v>
      </c>
      <c r="D71" s="200"/>
      <c r="E71" s="276" t="s">
        <v>113</v>
      </c>
      <c r="F71" s="276"/>
      <c r="G71" s="478" t="s">
        <v>565</v>
      </c>
      <c r="H71" s="276"/>
      <c r="I71" s="326">
        <f>+Linkin!H57</f>
        <v>20000</v>
      </c>
      <c r="J71" s="200"/>
      <c r="K71" s="207">
        <f t="shared" si="37"/>
        <v>4700</v>
      </c>
      <c r="L71" s="200"/>
      <c r="M71" s="207">
        <f t="shared" si="38"/>
        <v>1954</v>
      </c>
      <c r="N71" s="207"/>
      <c r="O71" s="207">
        <f t="shared" si="39"/>
        <v>856</v>
      </c>
      <c r="P71" s="207"/>
      <c r="Q71" s="207">
        <f t="shared" si="40"/>
        <v>636</v>
      </c>
      <c r="R71" s="207"/>
      <c r="S71" s="206">
        <f t="shared" si="41"/>
        <v>11774</v>
      </c>
      <c r="T71" s="206"/>
      <c r="U71" s="206">
        <f t="shared" si="42"/>
        <v>80</v>
      </c>
      <c r="V71" s="200"/>
      <c r="W71" s="207">
        <f t="shared" si="43"/>
        <v>0</v>
      </c>
      <c r="X71" s="207"/>
      <c r="Y71" s="207">
        <f t="shared" si="44"/>
        <v>0</v>
      </c>
      <c r="Z71" s="206"/>
      <c r="AA71" s="206">
        <f t="shared" si="45"/>
        <v>0</v>
      </c>
      <c r="AB71" s="206"/>
      <c r="AC71" s="206">
        <f t="shared" si="46"/>
        <v>0</v>
      </c>
      <c r="AD71" s="200"/>
      <c r="AE71" s="206">
        <f t="shared" si="47"/>
        <v>0</v>
      </c>
      <c r="AF71" s="200"/>
      <c r="AG71" s="206">
        <f t="shared" si="48"/>
        <v>0</v>
      </c>
      <c r="AH71" s="207"/>
      <c r="AI71" s="208">
        <f t="shared" si="36"/>
        <v>0</v>
      </c>
      <c r="AJ71" s="200"/>
      <c r="AK71" s="200"/>
    </row>
    <row r="72" spans="1:459">
      <c r="C72" s="210">
        <v>878</v>
      </c>
      <c r="E72" s="109" t="s">
        <v>63</v>
      </c>
      <c r="F72" s="276"/>
      <c r="G72" s="325">
        <v>6</v>
      </c>
      <c r="H72" s="276"/>
      <c r="I72" s="326">
        <f>+Linkin!H58</f>
        <v>1272000</v>
      </c>
      <c r="K72" s="206">
        <f t="shared" si="37"/>
        <v>0</v>
      </c>
      <c r="M72" s="206">
        <f t="shared" si="38"/>
        <v>0</v>
      </c>
      <c r="N72" s="207"/>
      <c r="O72" s="206">
        <f t="shared" si="39"/>
        <v>0</v>
      </c>
      <c r="P72" s="206"/>
      <c r="Q72" s="206">
        <f t="shared" si="40"/>
        <v>0</v>
      </c>
      <c r="R72" s="207"/>
      <c r="S72" s="206">
        <f t="shared" si="41"/>
        <v>0</v>
      </c>
      <c r="T72" s="206"/>
      <c r="U72" s="206">
        <f t="shared" si="42"/>
        <v>0</v>
      </c>
      <c r="W72" s="206">
        <f t="shared" si="43"/>
        <v>535003</v>
      </c>
      <c r="X72" s="207"/>
      <c r="Y72" s="206">
        <f t="shared" si="44"/>
        <v>416071</v>
      </c>
      <c r="Z72" s="206"/>
      <c r="AA72" s="206">
        <f t="shared" si="45"/>
        <v>211915</v>
      </c>
      <c r="AB72" s="206"/>
      <c r="AC72" s="206">
        <f t="shared" si="46"/>
        <v>85097</v>
      </c>
      <c r="AE72" s="206">
        <f t="shared" si="47"/>
        <v>3562</v>
      </c>
      <c r="AG72" s="206">
        <f t="shared" si="48"/>
        <v>20352</v>
      </c>
      <c r="AH72" s="207"/>
      <c r="AI72" s="208">
        <f t="shared" si="36"/>
        <v>0</v>
      </c>
    </row>
    <row r="73" spans="1:459">
      <c r="C73" s="210">
        <v>879</v>
      </c>
      <c r="E73" s="109" t="s">
        <v>64</v>
      </c>
      <c r="F73" s="276"/>
      <c r="G73" s="325">
        <v>6</v>
      </c>
      <c r="H73" s="276"/>
      <c r="I73" s="326">
        <f>+Linkin!H59</f>
        <v>570000</v>
      </c>
      <c r="K73" s="206">
        <f t="shared" si="37"/>
        <v>0</v>
      </c>
      <c r="M73" s="206">
        <f t="shared" si="38"/>
        <v>0</v>
      </c>
      <c r="N73" s="207"/>
      <c r="O73" s="206">
        <f t="shared" si="39"/>
        <v>0</v>
      </c>
      <c r="P73" s="206"/>
      <c r="Q73" s="206">
        <f t="shared" si="40"/>
        <v>0</v>
      </c>
      <c r="R73" s="207"/>
      <c r="S73" s="206">
        <f t="shared" si="41"/>
        <v>0</v>
      </c>
      <c r="T73" s="206"/>
      <c r="U73" s="206">
        <f t="shared" si="42"/>
        <v>0</v>
      </c>
      <c r="W73" s="206">
        <f t="shared" si="43"/>
        <v>239742</v>
      </c>
      <c r="X73" s="207"/>
      <c r="Y73" s="206">
        <f t="shared" si="44"/>
        <v>186447</v>
      </c>
      <c r="Z73" s="206"/>
      <c r="AA73" s="206">
        <f t="shared" si="45"/>
        <v>94962</v>
      </c>
      <c r="AB73" s="206"/>
      <c r="AC73" s="206">
        <f t="shared" si="46"/>
        <v>38133</v>
      </c>
      <c r="AE73" s="206">
        <f t="shared" si="47"/>
        <v>1596</v>
      </c>
      <c r="AG73" s="206">
        <f t="shared" si="48"/>
        <v>9120</v>
      </c>
      <c r="AH73" s="207"/>
      <c r="AI73" s="208">
        <f t="shared" si="36"/>
        <v>0</v>
      </c>
    </row>
    <row r="74" spans="1:459">
      <c r="C74" s="210">
        <v>880</v>
      </c>
      <c r="E74" s="109" t="s">
        <v>65</v>
      </c>
      <c r="F74" s="276"/>
      <c r="G74" s="325">
        <v>10</v>
      </c>
      <c r="H74" s="276"/>
      <c r="I74" s="326">
        <f>+Linkin!H60</f>
        <v>1041000</v>
      </c>
      <c r="K74" s="207">
        <f t="shared" si="37"/>
        <v>210074</v>
      </c>
      <c r="M74" s="207">
        <f t="shared" si="38"/>
        <v>87340</v>
      </c>
      <c r="N74" s="207"/>
      <c r="O74" s="207">
        <f t="shared" si="39"/>
        <v>38309</v>
      </c>
      <c r="P74" s="207"/>
      <c r="Q74" s="207">
        <f t="shared" si="40"/>
        <v>28419</v>
      </c>
      <c r="R74" s="207"/>
      <c r="S74" s="206">
        <f t="shared" si="41"/>
        <v>128043</v>
      </c>
      <c r="T74" s="206"/>
      <c r="U74" s="206">
        <f t="shared" si="42"/>
        <v>3539</v>
      </c>
      <c r="W74" s="207">
        <f t="shared" si="43"/>
        <v>379965</v>
      </c>
      <c r="X74" s="207"/>
      <c r="Y74" s="207">
        <f t="shared" si="44"/>
        <v>104829</v>
      </c>
      <c r="Z74" s="206"/>
      <c r="AA74" s="206">
        <f t="shared" si="45"/>
        <v>34041</v>
      </c>
      <c r="AB74" s="206"/>
      <c r="AC74" s="206">
        <f t="shared" si="46"/>
        <v>18946</v>
      </c>
      <c r="AE74" s="206">
        <f t="shared" si="47"/>
        <v>2603</v>
      </c>
      <c r="AG74" s="206">
        <f t="shared" si="48"/>
        <v>4893</v>
      </c>
      <c r="AH74" s="207"/>
      <c r="AI74" s="208">
        <f t="shared" si="36"/>
        <v>1</v>
      </c>
    </row>
    <row r="75" spans="1:459">
      <c r="C75" s="210">
        <v>881</v>
      </c>
      <c r="E75" s="109" t="s">
        <v>66</v>
      </c>
      <c r="F75" s="276"/>
      <c r="G75" s="325">
        <v>10</v>
      </c>
      <c r="H75" s="276"/>
      <c r="I75" s="326">
        <f>+Linkin!H61</f>
        <v>99000</v>
      </c>
      <c r="K75" s="211">
        <f t="shared" si="37"/>
        <v>19978</v>
      </c>
      <c r="M75" s="211">
        <f t="shared" si="38"/>
        <v>8306</v>
      </c>
      <c r="O75" s="211">
        <f t="shared" si="39"/>
        <v>3643</v>
      </c>
      <c r="P75" s="214"/>
      <c r="Q75" s="211">
        <f t="shared" si="40"/>
        <v>2703</v>
      </c>
      <c r="S75" s="211">
        <f t="shared" si="41"/>
        <v>12177</v>
      </c>
      <c r="T75" s="214"/>
      <c r="U75" s="211">
        <f t="shared" si="42"/>
        <v>337</v>
      </c>
      <c r="W75" s="211">
        <f t="shared" si="43"/>
        <v>36135</v>
      </c>
      <c r="Y75" s="211">
        <f t="shared" si="44"/>
        <v>9969</v>
      </c>
      <c r="Z75" s="206"/>
      <c r="AA75" s="211">
        <f t="shared" si="45"/>
        <v>3237</v>
      </c>
      <c r="AB75" s="214"/>
      <c r="AC75" s="211">
        <f t="shared" si="46"/>
        <v>1802</v>
      </c>
      <c r="AE75" s="211">
        <f t="shared" si="47"/>
        <v>248</v>
      </c>
      <c r="AG75" s="211">
        <f t="shared" si="48"/>
        <v>465</v>
      </c>
      <c r="AI75" s="208">
        <f t="shared" si="36"/>
        <v>0</v>
      </c>
    </row>
    <row r="76" spans="1:459">
      <c r="C76" s="210" t="s">
        <v>218</v>
      </c>
      <c r="E76" s="276" t="s">
        <v>220</v>
      </c>
      <c r="F76" s="276"/>
      <c r="G76" s="325"/>
      <c r="H76" s="276"/>
      <c r="I76" s="651">
        <f>SUM(I61:I75)</f>
        <v>13329000</v>
      </c>
      <c r="J76" s="206"/>
      <c r="K76" s="206">
        <f t="shared" ref="K76:AC76" si="49">SUM(K61:K75)</f>
        <v>2689323</v>
      </c>
      <c r="L76" s="206"/>
      <c r="M76" s="206">
        <f t="shared" si="49"/>
        <v>1118716</v>
      </c>
      <c r="N76" s="206"/>
      <c r="O76" s="206">
        <f t="shared" si="49"/>
        <v>490496</v>
      </c>
      <c r="P76" s="206"/>
      <c r="Q76" s="206">
        <f t="shared" si="49"/>
        <v>364152</v>
      </c>
      <c r="R76" s="206"/>
      <c r="S76" s="206">
        <f t="shared" si="49"/>
        <v>1639413</v>
      </c>
      <c r="T76" s="206"/>
      <c r="U76" s="206">
        <f t="shared" ref="U76" si="50">SUM(U61:U75)</f>
        <v>45722</v>
      </c>
      <c r="V76" s="206"/>
      <c r="W76" s="206">
        <f t="shared" si="49"/>
        <v>4864818</v>
      </c>
      <c r="X76" s="206"/>
      <c r="Y76" s="206">
        <f t="shared" si="49"/>
        <v>1342589</v>
      </c>
      <c r="Z76" s="206"/>
      <c r="AA76" s="206">
        <f t="shared" si="49"/>
        <v>436015</v>
      </c>
      <c r="AB76" s="206"/>
      <c r="AC76" s="206">
        <f t="shared" si="49"/>
        <v>242140</v>
      </c>
      <c r="AD76" s="206"/>
      <c r="AE76" s="206">
        <f t="shared" ref="AE76" si="51">SUM(AE61:AE75)</f>
        <v>33323</v>
      </c>
      <c r="AF76" s="206"/>
      <c r="AG76" s="206">
        <f t="shared" ref="AG76" si="52">SUM(AG61:AG75)</f>
        <v>62296</v>
      </c>
      <c r="AH76" s="206"/>
      <c r="AI76" s="208">
        <f t="shared" si="36"/>
        <v>3</v>
      </c>
    </row>
    <row r="77" spans="1:459">
      <c r="C77" s="210"/>
      <c r="E77" s="276"/>
      <c r="F77" s="276"/>
      <c r="G77" s="325"/>
      <c r="H77" s="276"/>
      <c r="I77" s="361"/>
      <c r="S77" s="206"/>
      <c r="T77" s="206"/>
      <c r="U77" s="206"/>
      <c r="Z77" s="206"/>
      <c r="AA77" s="206"/>
      <c r="AB77" s="206"/>
      <c r="AC77" s="206"/>
      <c r="AE77" s="206"/>
      <c r="AG77" s="206"/>
      <c r="AI77" s="208">
        <f t="shared" si="36"/>
        <v>0</v>
      </c>
    </row>
    <row r="78" spans="1:459">
      <c r="C78" s="210" t="s">
        <v>218</v>
      </c>
      <c r="E78" s="652" t="s">
        <v>210</v>
      </c>
      <c r="F78" s="276"/>
      <c r="G78" s="325"/>
      <c r="H78" s="276"/>
      <c r="I78" s="361"/>
      <c r="S78" s="206"/>
      <c r="T78" s="206"/>
      <c r="U78" s="206"/>
      <c r="Z78" s="206"/>
      <c r="AA78" s="206"/>
      <c r="AB78" s="206"/>
      <c r="AC78" s="206"/>
      <c r="AE78" s="206"/>
      <c r="AG78" s="206"/>
      <c r="AI78" s="208">
        <f t="shared" si="36"/>
        <v>0</v>
      </c>
    </row>
    <row r="79" spans="1:459" s="54" customFormat="1">
      <c r="A79" s="200"/>
      <c r="B79" s="200"/>
      <c r="C79" s="210">
        <v>885</v>
      </c>
      <c r="D79" s="200"/>
      <c r="E79" s="276" t="s">
        <v>168</v>
      </c>
      <c r="F79" s="276"/>
      <c r="G79" s="325">
        <v>11</v>
      </c>
      <c r="H79" s="276"/>
      <c r="I79" s="361">
        <f>+Linkin!H65</f>
        <v>512000</v>
      </c>
      <c r="J79" s="200"/>
      <c r="K79" s="207">
        <f>ROUND(VLOOKUP($G79,factors,+K$318)*$I79,0)</f>
        <v>199117</v>
      </c>
      <c r="L79" s="200"/>
      <c r="M79" s="207">
        <f>ROUND(VLOOKUP($G79,factors,+M$318)*$I79,0)</f>
        <v>82842</v>
      </c>
      <c r="N79" s="207"/>
      <c r="O79" s="207">
        <f>ROUND(VLOOKUP($G79,factors,+O$318)*$I79,0)</f>
        <v>36301</v>
      </c>
      <c r="P79" s="207"/>
      <c r="Q79" s="207">
        <f>ROUND(VLOOKUP($G79,factors,+Q$318)*$I79,0)</f>
        <v>26982</v>
      </c>
      <c r="R79" s="207"/>
      <c r="S79" s="206">
        <f>ROUND(VLOOKUP($G79,factors,+S$318)*$I79,0)</f>
        <v>67891</v>
      </c>
      <c r="T79" s="206"/>
      <c r="U79" s="206">
        <f>ROUND(VLOOKUP($G79,factors,+U$318)*$I79,0)</f>
        <v>3379</v>
      </c>
      <c r="V79" s="200"/>
      <c r="W79" s="207">
        <f>ROUND(VLOOKUP($G79,factors,+W$318)*$I79,0)</f>
        <v>56934</v>
      </c>
      <c r="X79" s="207"/>
      <c r="Y79" s="207">
        <f>ROUND(VLOOKUP($G79,factors,+Y$318)*$I79,0)</f>
        <v>15309</v>
      </c>
      <c r="Z79" s="206"/>
      <c r="AA79" s="206">
        <f>ROUND(VLOOKUP($G79,factors,+AA$318)*$I79,0)</f>
        <v>4864</v>
      </c>
      <c r="AB79" s="206"/>
      <c r="AC79" s="206">
        <f>ROUND(VLOOKUP($G79,factors,+AC$318)*$I79,0)</f>
        <v>11469</v>
      </c>
      <c r="AD79" s="200"/>
      <c r="AE79" s="206">
        <f>ROUND(VLOOKUP($G79,factors,+AE$318)*$I79,0)</f>
        <v>3533</v>
      </c>
      <c r="AF79" s="200"/>
      <c r="AG79" s="206">
        <f>ROUND(VLOOKUP($G79,factors,+AG$318)*$I79,0)</f>
        <v>3379</v>
      </c>
      <c r="AH79" s="207"/>
      <c r="AI79" s="208">
        <f t="shared" si="36"/>
        <v>0</v>
      </c>
      <c r="AJ79" s="200"/>
      <c r="AK79" s="200"/>
    </row>
    <row r="80" spans="1:459">
      <c r="C80" s="210">
        <v>886</v>
      </c>
      <c r="E80" s="324" t="s">
        <v>117</v>
      </c>
      <c r="F80" s="324"/>
      <c r="G80" s="478">
        <v>18</v>
      </c>
      <c r="H80" s="324"/>
      <c r="I80" s="361">
        <f>+Linkin!H66</f>
        <v>4000</v>
      </c>
      <c r="K80" s="207">
        <f>ROUND(VLOOKUP($G80,factors,+K$318)*$I80,0)</f>
        <v>1969</v>
      </c>
      <c r="M80" s="207">
        <f>ROUND(VLOOKUP($G80,factors,+M$318)*$I80,0)</f>
        <v>819</v>
      </c>
      <c r="N80" s="207"/>
      <c r="O80" s="207">
        <f>ROUND(VLOOKUP($G80,factors,+O$318)*$I80,0)</f>
        <v>359</v>
      </c>
      <c r="P80" s="207"/>
      <c r="Q80" s="207">
        <f>ROUND(VLOOKUP($G80,factors,+Q$318)*$I80,0)</f>
        <v>267</v>
      </c>
      <c r="R80" s="207"/>
      <c r="S80" s="206">
        <f>ROUND(VLOOKUP($G80,factors,+S$318)*$I80,0)</f>
        <v>552</v>
      </c>
      <c r="T80" s="206"/>
      <c r="U80" s="206">
        <f>ROUND(VLOOKUP($G80,factors,+U$318)*$I80,0)</f>
        <v>34</v>
      </c>
      <c r="W80" s="207">
        <f>ROUND(VLOOKUP($G80,factors,+W$318)*$I80,0)</f>
        <v>0</v>
      </c>
      <c r="X80" s="207"/>
      <c r="Y80" s="207">
        <f>ROUND(VLOOKUP($G80,factors,+Y$318)*$I80,0)</f>
        <v>0</v>
      </c>
      <c r="Z80" s="206"/>
      <c r="AA80" s="206">
        <f>ROUND(VLOOKUP($G80,factors,+AA$318)*$I80,0)</f>
        <v>0</v>
      </c>
      <c r="AB80" s="206"/>
      <c r="AC80" s="206">
        <f>ROUND(VLOOKUP($G80,factors,+AC$318)*$I80,0)</f>
        <v>0</v>
      </c>
      <c r="AE80" s="206">
        <f>ROUND(VLOOKUP($G80,factors,+AE$318)*$I80,0)</f>
        <v>0</v>
      </c>
      <c r="AG80" s="206">
        <f>ROUND(VLOOKUP($G80,factors,+AG$318)*$I80,0)</f>
        <v>0</v>
      </c>
      <c r="AH80" s="207"/>
      <c r="AI80" s="208">
        <f t="shared" si="36"/>
        <v>0</v>
      </c>
    </row>
    <row r="81" spans="1:39" s="54" customFormat="1">
      <c r="A81" s="206">
        <f>+Linkin!H67</f>
        <v>10330000</v>
      </c>
      <c r="B81" s="555">
        <f>SUM(I81:I82)</f>
        <v>10330000</v>
      </c>
      <c r="C81" s="325">
        <v>887</v>
      </c>
      <c r="D81" s="276"/>
      <c r="E81" s="324" t="s">
        <v>398</v>
      </c>
      <c r="F81" s="324"/>
      <c r="G81" s="478">
        <v>5</v>
      </c>
      <c r="H81" s="324"/>
      <c r="I81" s="361">
        <f>ROUND(+Linkin!H67*B66,0)</f>
        <v>2961355</v>
      </c>
      <c r="J81" s="95"/>
      <c r="K81" s="207">
        <f>ROUND(VLOOKUP($G81,factors,+K$318)*$I81,0)</f>
        <v>1691230</v>
      </c>
      <c r="L81" s="200"/>
      <c r="M81" s="207">
        <f>ROUND(VLOOKUP($G81,factors,+M$318)*$I81,0)</f>
        <v>703618</v>
      </c>
      <c r="N81" s="207"/>
      <c r="O81" s="207">
        <f>ROUND(VLOOKUP($G81,factors,+O$318)*$I81,0)</f>
        <v>308573</v>
      </c>
      <c r="P81" s="207"/>
      <c r="Q81" s="207">
        <f>ROUND(VLOOKUP($G81,factors,+Q$318)*$I81,0)</f>
        <v>229209</v>
      </c>
      <c r="R81" s="207"/>
      <c r="S81" s="206">
        <f>ROUND(VLOOKUP($G81,factors,+S$318)*$I81,0)</f>
        <v>0</v>
      </c>
      <c r="T81" s="206"/>
      <c r="U81" s="206">
        <f>ROUND(VLOOKUP($G81,factors,+U$318)*$I81,0)</f>
        <v>28725</v>
      </c>
      <c r="V81" s="200"/>
      <c r="W81" s="207">
        <f>ROUND(VLOOKUP($G81,factors,+W$318)*$I81,0)</f>
        <v>0</v>
      </c>
      <c r="X81" s="207"/>
      <c r="Y81" s="207">
        <f>ROUND(VLOOKUP($G81,factors,+Y$318)*$I81,0)</f>
        <v>0</v>
      </c>
      <c r="Z81" s="206"/>
      <c r="AA81" s="206">
        <f>ROUND(VLOOKUP($G81,factors,+AA$318)*$I81,0)</f>
        <v>0</v>
      </c>
      <c r="AB81" s="206"/>
      <c r="AC81" s="206">
        <f>ROUND(VLOOKUP($G81,factors,+AC$318)*$I81,0)</f>
        <v>0</v>
      </c>
      <c r="AD81" s="200"/>
      <c r="AE81" s="206">
        <f>ROUND(VLOOKUP($G81,factors,+AE$318)*$I81,0)</f>
        <v>0</v>
      </c>
      <c r="AF81" s="200"/>
      <c r="AG81" s="206">
        <f>ROUND(VLOOKUP($G81,factors,+AG$318)*$I81,0)</f>
        <v>0</v>
      </c>
      <c r="AH81" s="207"/>
      <c r="AI81" s="208">
        <f t="shared" si="36"/>
        <v>0</v>
      </c>
      <c r="AJ81" s="200"/>
      <c r="AK81" s="200"/>
    </row>
    <row r="82" spans="1:39" s="54" customFormat="1">
      <c r="A82" s="205"/>
      <c r="C82" s="325"/>
      <c r="D82" s="276"/>
      <c r="E82" s="324" t="s">
        <v>399</v>
      </c>
      <c r="F82" s="324"/>
      <c r="G82" s="478">
        <v>17</v>
      </c>
      <c r="H82" s="324"/>
      <c r="I82" s="361">
        <f>ROUND(+Linkin!H67*B67,0)</f>
        <v>7368645</v>
      </c>
      <c r="J82" s="95"/>
      <c r="K82" s="207">
        <f>ROUND(VLOOKUP($G82,factors,+K$318)*$I82,0)</f>
        <v>3449263</v>
      </c>
      <c r="L82" s="200"/>
      <c r="M82" s="207">
        <f>ROUND(VLOOKUP($G82,factors,+M$318)*$I82,0)</f>
        <v>1435412</v>
      </c>
      <c r="N82" s="207"/>
      <c r="O82" s="207">
        <f>ROUND(VLOOKUP($G82,factors,+O$318)*$I82,0)</f>
        <v>629282</v>
      </c>
      <c r="P82" s="207"/>
      <c r="Q82" s="207">
        <f>ROUND(VLOOKUP($G82,factors,+Q$318)*$I82,0)</f>
        <v>467172</v>
      </c>
      <c r="R82" s="207"/>
      <c r="S82" s="206">
        <f>ROUND(VLOOKUP($G82,factors,+S$318)*$I82,0)</f>
        <v>1328567</v>
      </c>
      <c r="T82" s="206"/>
      <c r="U82" s="206">
        <f>ROUND(VLOOKUP($G82,factors,+U$318)*$I82,0)</f>
        <v>58949</v>
      </c>
      <c r="V82" s="200"/>
      <c r="W82" s="207"/>
      <c r="X82" s="207"/>
      <c r="Y82" s="207"/>
      <c r="Z82" s="206"/>
      <c r="AA82" s="206"/>
      <c r="AB82" s="206"/>
      <c r="AC82" s="206"/>
      <c r="AD82" s="200"/>
      <c r="AE82" s="206"/>
      <c r="AF82" s="200"/>
      <c r="AG82" s="206"/>
      <c r="AH82" s="207"/>
      <c r="AI82" s="208">
        <f t="shared" si="36"/>
        <v>0</v>
      </c>
      <c r="AJ82" s="200"/>
      <c r="AK82" s="200"/>
    </row>
    <row r="83" spans="1:39" s="54" customFormat="1">
      <c r="A83" s="205"/>
      <c r="C83" s="325">
        <v>888</v>
      </c>
      <c r="D83" s="276"/>
      <c r="E83" s="324" t="s">
        <v>417</v>
      </c>
      <c r="F83" s="324"/>
      <c r="G83" s="478">
        <v>4</v>
      </c>
      <c r="H83" s="324"/>
      <c r="I83" s="361">
        <f>+Linkin!H68</f>
        <v>0</v>
      </c>
      <c r="J83" s="200"/>
      <c r="K83" s="207"/>
      <c r="L83" s="200"/>
      <c r="M83" s="207"/>
      <c r="N83" s="207"/>
      <c r="O83" s="207"/>
      <c r="P83" s="207"/>
      <c r="Q83" s="207"/>
      <c r="R83" s="207"/>
      <c r="S83" s="206"/>
      <c r="T83" s="206"/>
      <c r="U83" s="206"/>
      <c r="V83" s="200"/>
      <c r="W83" s="207"/>
      <c r="X83" s="207"/>
      <c r="Y83" s="207"/>
      <c r="Z83" s="206"/>
      <c r="AA83" s="206"/>
      <c r="AB83" s="206"/>
      <c r="AC83" s="206"/>
      <c r="AD83" s="200"/>
      <c r="AE83" s="206"/>
      <c r="AF83" s="200"/>
      <c r="AG83" s="206"/>
      <c r="AH83" s="207"/>
      <c r="AI83" s="208">
        <f t="shared" si="36"/>
        <v>0</v>
      </c>
      <c r="AJ83" s="200"/>
      <c r="AK83" s="200"/>
    </row>
    <row r="84" spans="1:39">
      <c r="C84" s="210">
        <v>889</v>
      </c>
      <c r="E84" s="324" t="s">
        <v>118</v>
      </c>
      <c r="F84" s="324"/>
      <c r="G84" s="478" t="s">
        <v>565</v>
      </c>
      <c r="H84" s="324"/>
      <c r="I84" s="361">
        <f>+Linkin!H69</f>
        <v>405000</v>
      </c>
      <c r="K84" s="207">
        <f t="shared" ref="K84:K90" si="53">ROUND(VLOOKUP($G84,factors,+K$318)*$I84,0)</f>
        <v>95175</v>
      </c>
      <c r="M84" s="207">
        <f t="shared" ref="M84:M90" si="54">ROUND(VLOOKUP($G84,factors,+M$318)*$I84,0)</f>
        <v>39569</v>
      </c>
      <c r="N84" s="207"/>
      <c r="O84" s="207">
        <f t="shared" ref="O84:O90" si="55">ROUND(VLOOKUP($G84,factors,+O$318)*$I84,0)</f>
        <v>17334</v>
      </c>
      <c r="P84" s="207"/>
      <c r="Q84" s="207">
        <f t="shared" ref="Q84:Q90" si="56">ROUND(VLOOKUP($G84,factors,+Q$318)*$I84,0)</f>
        <v>12879</v>
      </c>
      <c r="R84" s="207"/>
      <c r="S84" s="206">
        <f t="shared" ref="S84:S90" si="57">ROUND(VLOOKUP($G84,factors,+S$318)*$I84,0)</f>
        <v>238424</v>
      </c>
      <c r="T84" s="206"/>
      <c r="U84" s="206">
        <f t="shared" ref="U84:U90" si="58">ROUND(VLOOKUP($G84,factors,+U$318)*$I84,0)</f>
        <v>1620</v>
      </c>
      <c r="W84" s="207">
        <f t="shared" ref="W84:W90" si="59">ROUND(VLOOKUP($G84,factors,+W$318)*$I84,0)</f>
        <v>0</v>
      </c>
      <c r="X84" s="207"/>
      <c r="Y84" s="207">
        <f t="shared" ref="Y84:Y90" si="60">ROUND(VLOOKUP($G84,factors,+Y$318)*$I84,0)</f>
        <v>0</v>
      </c>
      <c r="Z84" s="206"/>
      <c r="AA84" s="206">
        <f t="shared" ref="AA84:AA90" si="61">ROUND(VLOOKUP($G84,factors,+AA$318)*$I84,0)</f>
        <v>0</v>
      </c>
      <c r="AB84" s="206"/>
      <c r="AC84" s="206">
        <f t="shared" ref="AC84:AC90" si="62">ROUND(VLOOKUP($G84,factors,+AC$318)*$I84,0)</f>
        <v>0</v>
      </c>
      <c r="AE84" s="206">
        <f t="shared" ref="AE84:AE90" si="63">ROUND(VLOOKUP($G84,factors,+AE$318)*$I84,0)</f>
        <v>0</v>
      </c>
      <c r="AG84" s="206">
        <f t="shared" ref="AG84:AG90" si="64">ROUND(VLOOKUP($G84,factors,+AG$318)*$I84,0)</f>
        <v>0</v>
      </c>
      <c r="AH84" s="207"/>
      <c r="AI84" s="208">
        <f t="shared" si="36"/>
        <v>1</v>
      </c>
    </row>
    <row r="85" spans="1:39" s="54" customFormat="1">
      <c r="A85" s="200"/>
      <c r="B85" s="200"/>
      <c r="C85" s="210">
        <v>890</v>
      </c>
      <c r="D85" s="200"/>
      <c r="E85" s="276" t="s">
        <v>312</v>
      </c>
      <c r="F85" s="276"/>
      <c r="G85" s="325" t="s">
        <v>330</v>
      </c>
      <c r="H85" s="276"/>
      <c r="I85" s="361">
        <f>+Linkin!H70</f>
        <v>423000</v>
      </c>
      <c r="J85" s="200"/>
      <c r="K85" s="207">
        <f t="shared" si="53"/>
        <v>0</v>
      </c>
      <c r="L85" s="200"/>
      <c r="M85" s="207">
        <f t="shared" si="54"/>
        <v>0</v>
      </c>
      <c r="N85" s="207"/>
      <c r="O85" s="207">
        <f t="shared" si="55"/>
        <v>0</v>
      </c>
      <c r="P85" s="207"/>
      <c r="Q85" s="207">
        <f t="shared" si="56"/>
        <v>0</v>
      </c>
      <c r="R85" s="207"/>
      <c r="S85" s="206">
        <f t="shared" si="57"/>
        <v>0</v>
      </c>
      <c r="T85" s="206"/>
      <c r="U85" s="206">
        <f t="shared" si="58"/>
        <v>0</v>
      </c>
      <c r="V85" s="200"/>
      <c r="W85" s="207">
        <f t="shared" si="59"/>
        <v>0</v>
      </c>
      <c r="X85" s="207"/>
      <c r="Y85" s="207">
        <f t="shared" si="60"/>
        <v>0</v>
      </c>
      <c r="Z85" s="206"/>
      <c r="AA85" s="206">
        <f t="shared" si="61"/>
        <v>0</v>
      </c>
      <c r="AB85" s="206"/>
      <c r="AC85" s="206">
        <f t="shared" si="62"/>
        <v>253969</v>
      </c>
      <c r="AD85" s="200"/>
      <c r="AE85" s="206">
        <f t="shared" si="63"/>
        <v>91622</v>
      </c>
      <c r="AF85" s="200"/>
      <c r="AG85" s="206">
        <f t="shared" si="64"/>
        <v>77409</v>
      </c>
      <c r="AH85" s="207"/>
      <c r="AI85" s="208">
        <f t="shared" si="36"/>
        <v>0</v>
      </c>
      <c r="AJ85" s="200"/>
      <c r="AK85" s="200"/>
    </row>
    <row r="86" spans="1:39" s="54" customFormat="1">
      <c r="A86" s="200"/>
      <c r="B86" s="200"/>
      <c r="C86" s="210">
        <v>891</v>
      </c>
      <c r="D86" s="200"/>
      <c r="E86" s="276" t="s">
        <v>313</v>
      </c>
      <c r="F86" s="276"/>
      <c r="G86" s="478" t="s">
        <v>565</v>
      </c>
      <c r="H86" s="276"/>
      <c r="I86" s="361">
        <f>+Linkin!H71</f>
        <v>431000</v>
      </c>
      <c r="J86" s="200"/>
      <c r="K86" s="207">
        <f t="shared" si="53"/>
        <v>101285</v>
      </c>
      <c r="L86" s="200"/>
      <c r="M86" s="207">
        <f t="shared" si="54"/>
        <v>42109</v>
      </c>
      <c r="N86" s="207"/>
      <c r="O86" s="207">
        <f t="shared" si="55"/>
        <v>18447</v>
      </c>
      <c r="P86" s="207"/>
      <c r="Q86" s="207">
        <f t="shared" si="56"/>
        <v>13706</v>
      </c>
      <c r="R86" s="207"/>
      <c r="S86" s="206">
        <f t="shared" si="57"/>
        <v>253730</v>
      </c>
      <c r="T86" s="206"/>
      <c r="U86" s="206">
        <f t="shared" si="58"/>
        <v>1724</v>
      </c>
      <c r="V86" s="200"/>
      <c r="W86" s="207">
        <f t="shared" si="59"/>
        <v>0</v>
      </c>
      <c r="X86" s="207"/>
      <c r="Y86" s="207">
        <f t="shared" si="60"/>
        <v>0</v>
      </c>
      <c r="Z86" s="206"/>
      <c r="AA86" s="206">
        <f t="shared" si="61"/>
        <v>0</v>
      </c>
      <c r="AB86" s="206"/>
      <c r="AC86" s="206">
        <f t="shared" si="62"/>
        <v>0</v>
      </c>
      <c r="AD86" s="200"/>
      <c r="AE86" s="206">
        <f t="shared" si="63"/>
        <v>0</v>
      </c>
      <c r="AF86" s="200"/>
      <c r="AG86" s="206">
        <f t="shared" si="64"/>
        <v>0</v>
      </c>
      <c r="AH86" s="207"/>
      <c r="AI86" s="208">
        <f t="shared" si="36"/>
        <v>1</v>
      </c>
      <c r="AJ86" s="200"/>
      <c r="AK86" s="200"/>
    </row>
    <row r="87" spans="1:39" s="36" customFormat="1">
      <c r="A87" s="201"/>
      <c r="B87" s="201"/>
      <c r="C87" s="215">
        <v>892</v>
      </c>
      <c r="D87" s="201"/>
      <c r="E87" s="308" t="s">
        <v>121</v>
      </c>
      <c r="F87" s="308"/>
      <c r="G87" s="481" t="s">
        <v>403</v>
      </c>
      <c r="H87" s="308"/>
      <c r="I87" s="361">
        <f>+Linkin!H72</f>
        <v>1414000</v>
      </c>
      <c r="J87" s="201"/>
      <c r="K87" s="213">
        <f t="shared" si="53"/>
        <v>0</v>
      </c>
      <c r="L87" s="201"/>
      <c r="M87" s="213">
        <f t="shared" si="54"/>
        <v>0</v>
      </c>
      <c r="N87" s="213"/>
      <c r="O87" s="213">
        <f t="shared" si="55"/>
        <v>0</v>
      </c>
      <c r="P87" s="213"/>
      <c r="Q87" s="213">
        <f t="shared" si="56"/>
        <v>0</v>
      </c>
      <c r="R87" s="213"/>
      <c r="S87" s="214">
        <f t="shared" si="57"/>
        <v>0</v>
      </c>
      <c r="T87" s="214"/>
      <c r="U87" s="214">
        <f t="shared" si="58"/>
        <v>0</v>
      </c>
      <c r="V87" s="201"/>
      <c r="W87" s="213">
        <f t="shared" si="59"/>
        <v>1222686</v>
      </c>
      <c r="X87" s="213"/>
      <c r="Y87" s="213">
        <f t="shared" si="60"/>
        <v>174488</v>
      </c>
      <c r="Z87" s="214"/>
      <c r="AA87" s="214">
        <f t="shared" si="61"/>
        <v>10039</v>
      </c>
      <c r="AB87" s="214"/>
      <c r="AC87" s="214">
        <f t="shared" si="62"/>
        <v>4666</v>
      </c>
      <c r="AD87" s="201"/>
      <c r="AE87" s="214">
        <f t="shared" si="63"/>
        <v>990</v>
      </c>
      <c r="AF87" s="201"/>
      <c r="AG87" s="214">
        <f t="shared" si="64"/>
        <v>1131</v>
      </c>
      <c r="AH87" s="213"/>
      <c r="AI87" s="208">
        <f t="shared" si="36"/>
        <v>0</v>
      </c>
      <c r="AJ87" s="201"/>
      <c r="AK87" s="201"/>
    </row>
    <row r="88" spans="1:39" s="36" customFormat="1">
      <c r="A88" s="201"/>
      <c r="B88" s="201"/>
      <c r="C88" s="215">
        <v>893</v>
      </c>
      <c r="D88" s="201"/>
      <c r="E88" s="308" t="s">
        <v>122</v>
      </c>
      <c r="F88" s="308"/>
      <c r="G88" s="481">
        <v>6</v>
      </c>
      <c r="H88" s="308"/>
      <c r="I88" s="361">
        <f>+Linkin!H73</f>
        <v>723000</v>
      </c>
      <c r="J88" s="201"/>
      <c r="K88" s="214">
        <f t="shared" si="53"/>
        <v>0</v>
      </c>
      <c r="L88" s="201"/>
      <c r="M88" s="214">
        <f t="shared" si="54"/>
        <v>0</v>
      </c>
      <c r="N88" s="201"/>
      <c r="O88" s="214">
        <f t="shared" si="55"/>
        <v>0</v>
      </c>
      <c r="P88" s="214"/>
      <c r="Q88" s="214">
        <f t="shared" si="56"/>
        <v>0</v>
      </c>
      <c r="R88" s="201"/>
      <c r="S88" s="214">
        <f t="shared" si="57"/>
        <v>0</v>
      </c>
      <c r="T88" s="214"/>
      <c r="U88" s="214">
        <f t="shared" si="58"/>
        <v>0</v>
      </c>
      <c r="V88" s="201"/>
      <c r="W88" s="214">
        <f t="shared" si="59"/>
        <v>304094</v>
      </c>
      <c r="X88" s="201"/>
      <c r="Y88" s="214">
        <f t="shared" si="60"/>
        <v>236493</v>
      </c>
      <c r="Z88" s="214"/>
      <c r="AA88" s="214">
        <f t="shared" si="61"/>
        <v>120452</v>
      </c>
      <c r="AB88" s="214"/>
      <c r="AC88" s="214">
        <f t="shared" si="62"/>
        <v>48369</v>
      </c>
      <c r="AD88" s="201"/>
      <c r="AE88" s="214">
        <f t="shared" si="63"/>
        <v>2024</v>
      </c>
      <c r="AF88" s="201"/>
      <c r="AG88" s="214">
        <f t="shared" si="64"/>
        <v>11568</v>
      </c>
      <c r="AH88" s="201"/>
      <c r="AI88" s="208">
        <f t="shared" si="36"/>
        <v>0</v>
      </c>
      <c r="AJ88" s="201"/>
      <c r="AK88" s="201"/>
    </row>
    <row r="89" spans="1:39" s="107" customFormat="1">
      <c r="A89" s="201"/>
      <c r="B89" s="201"/>
      <c r="C89" s="215">
        <v>894</v>
      </c>
      <c r="D89" s="201"/>
      <c r="E89" s="308" t="s">
        <v>65</v>
      </c>
      <c r="F89" s="308"/>
      <c r="G89" s="481">
        <v>11</v>
      </c>
      <c r="H89" s="308"/>
      <c r="I89" s="361">
        <f>+Linkin!H74</f>
        <v>149000</v>
      </c>
      <c r="J89" s="201"/>
      <c r="K89" s="214">
        <f t="shared" si="53"/>
        <v>57946</v>
      </c>
      <c r="L89" s="201"/>
      <c r="M89" s="214">
        <f t="shared" si="54"/>
        <v>24108</v>
      </c>
      <c r="N89" s="201"/>
      <c r="O89" s="214">
        <f t="shared" si="55"/>
        <v>10564</v>
      </c>
      <c r="P89" s="214"/>
      <c r="Q89" s="214">
        <f t="shared" si="56"/>
        <v>7852</v>
      </c>
      <c r="R89" s="201"/>
      <c r="S89" s="214">
        <f t="shared" si="57"/>
        <v>19757</v>
      </c>
      <c r="T89" s="214"/>
      <c r="U89" s="214">
        <f t="shared" si="58"/>
        <v>983</v>
      </c>
      <c r="V89" s="201"/>
      <c r="W89" s="214">
        <f t="shared" si="59"/>
        <v>16569</v>
      </c>
      <c r="X89" s="201"/>
      <c r="Y89" s="214">
        <f t="shared" si="60"/>
        <v>4455</v>
      </c>
      <c r="Z89" s="214"/>
      <c r="AA89" s="214">
        <f t="shared" si="61"/>
        <v>1416</v>
      </c>
      <c r="AB89" s="214"/>
      <c r="AC89" s="214">
        <f t="shared" si="62"/>
        <v>3338</v>
      </c>
      <c r="AD89" s="201"/>
      <c r="AE89" s="214">
        <f t="shared" si="63"/>
        <v>1028</v>
      </c>
      <c r="AF89" s="201"/>
      <c r="AG89" s="214">
        <f t="shared" si="64"/>
        <v>983</v>
      </c>
      <c r="AH89" s="201"/>
      <c r="AI89" s="208">
        <f t="shared" si="36"/>
        <v>-1</v>
      </c>
      <c r="AJ89" s="201"/>
      <c r="AK89" s="201"/>
    </row>
    <row r="90" spans="1:39" s="107" customFormat="1">
      <c r="A90" s="201"/>
      <c r="B90" s="201"/>
      <c r="C90" s="481">
        <v>895</v>
      </c>
      <c r="D90" s="308"/>
      <c r="E90" s="308" t="s">
        <v>418</v>
      </c>
      <c r="F90" s="308"/>
      <c r="G90" s="481">
        <v>11</v>
      </c>
      <c r="H90" s="308"/>
      <c r="I90" s="361">
        <f>+Linkin!H75</f>
        <v>0</v>
      </c>
      <c r="J90" s="201"/>
      <c r="K90" s="214">
        <f t="shared" si="53"/>
        <v>0</v>
      </c>
      <c r="L90" s="201"/>
      <c r="M90" s="214">
        <f t="shared" si="54"/>
        <v>0</v>
      </c>
      <c r="N90" s="201"/>
      <c r="O90" s="214">
        <f t="shared" si="55"/>
        <v>0</v>
      </c>
      <c r="P90" s="214"/>
      <c r="Q90" s="214">
        <f t="shared" si="56"/>
        <v>0</v>
      </c>
      <c r="R90" s="201"/>
      <c r="S90" s="214">
        <f t="shared" si="57"/>
        <v>0</v>
      </c>
      <c r="T90" s="214"/>
      <c r="U90" s="214">
        <f t="shared" si="58"/>
        <v>0</v>
      </c>
      <c r="V90" s="201"/>
      <c r="W90" s="214">
        <f t="shared" si="59"/>
        <v>0</v>
      </c>
      <c r="X90" s="201"/>
      <c r="Y90" s="214">
        <f t="shared" si="60"/>
        <v>0</v>
      </c>
      <c r="Z90" s="214"/>
      <c r="AA90" s="214">
        <f t="shared" si="61"/>
        <v>0</v>
      </c>
      <c r="AB90" s="214"/>
      <c r="AC90" s="214">
        <f t="shared" si="62"/>
        <v>0</v>
      </c>
      <c r="AD90" s="201"/>
      <c r="AE90" s="214">
        <f t="shared" si="63"/>
        <v>0</v>
      </c>
      <c r="AF90" s="201"/>
      <c r="AG90" s="214">
        <f t="shared" si="64"/>
        <v>0</v>
      </c>
      <c r="AH90" s="200"/>
      <c r="AI90" s="208">
        <f t="shared" si="36"/>
        <v>0</v>
      </c>
      <c r="AJ90" s="200"/>
      <c r="AK90" s="200"/>
      <c r="AL90" s="54"/>
      <c r="AM90" s="54"/>
    </row>
    <row r="91" spans="1:39">
      <c r="C91" s="200" t="s">
        <v>218</v>
      </c>
      <c r="E91" s="276" t="s">
        <v>221</v>
      </c>
      <c r="F91" s="276"/>
      <c r="G91" s="325"/>
      <c r="H91" s="276"/>
      <c r="I91" s="653">
        <f>SUM(I79:I90)</f>
        <v>14391000</v>
      </c>
      <c r="K91" s="338">
        <f t="shared" ref="K91" si="65">SUM(K79:K90)</f>
        <v>5595985</v>
      </c>
      <c r="M91" s="338">
        <f t="shared" ref="M91" si="66">SUM(M79:M90)</f>
        <v>2328477</v>
      </c>
      <c r="O91" s="338">
        <f t="shared" ref="O91" si="67">SUM(O79:O90)</f>
        <v>1020860</v>
      </c>
      <c r="Q91" s="338">
        <f t="shared" ref="Q91" si="68">SUM(Q79:Q90)</f>
        <v>758067</v>
      </c>
      <c r="S91" s="338">
        <f t="shared" ref="S91:U91" si="69">SUM(S79:S90)</f>
        <v>1908921</v>
      </c>
      <c r="T91" s="214"/>
      <c r="U91" s="338">
        <f t="shared" si="69"/>
        <v>95414</v>
      </c>
      <c r="W91" s="338">
        <f t="shared" ref="W91" si="70">SUM(W79:W90)</f>
        <v>1600283</v>
      </c>
      <c r="Y91" s="338">
        <f t="shared" ref="Y91" si="71">SUM(Y79:Y90)</f>
        <v>430745</v>
      </c>
      <c r="AA91" s="338">
        <f t="shared" ref="AA91" si="72">SUM(AA79:AA90)</f>
        <v>136771</v>
      </c>
      <c r="AC91" s="338">
        <f t="shared" ref="AC91:AG91" si="73">SUM(AC79:AC90)</f>
        <v>321811</v>
      </c>
      <c r="AE91" s="338">
        <f t="shared" si="73"/>
        <v>99197</v>
      </c>
      <c r="AG91" s="338">
        <f t="shared" si="73"/>
        <v>94470</v>
      </c>
      <c r="AI91" s="208">
        <f t="shared" si="36"/>
        <v>1</v>
      </c>
    </row>
    <row r="92" spans="1:39">
      <c r="E92" s="276"/>
      <c r="F92" s="276"/>
      <c r="G92" s="325"/>
      <c r="H92" s="276"/>
      <c r="I92" s="361"/>
      <c r="K92" s="206"/>
      <c r="M92" s="206"/>
      <c r="O92" s="206"/>
      <c r="P92" s="206"/>
      <c r="Q92" s="206"/>
      <c r="S92" s="206"/>
      <c r="T92" s="206"/>
      <c r="U92" s="206"/>
      <c r="W92" s="206"/>
      <c r="Y92" s="206"/>
      <c r="Z92" s="206"/>
      <c r="AA92" s="206"/>
      <c r="AB92" s="206"/>
      <c r="AC92" s="206"/>
      <c r="AE92" s="206"/>
      <c r="AG92" s="206"/>
      <c r="AI92" s="208">
        <f t="shared" si="36"/>
        <v>0</v>
      </c>
    </row>
    <row r="93" spans="1:39" ht="15.75">
      <c r="E93" s="654" t="s">
        <v>231</v>
      </c>
      <c r="F93" s="654"/>
      <c r="G93" s="655"/>
      <c r="H93" s="654"/>
      <c r="I93" s="656">
        <f>+I91+I76</f>
        <v>27720000</v>
      </c>
      <c r="J93" s="34"/>
      <c r="K93" s="46">
        <f>+K91+K76</f>
        <v>8285308</v>
      </c>
      <c r="L93" s="34"/>
      <c r="M93" s="46">
        <f>+M91+M76</f>
        <v>3447193</v>
      </c>
      <c r="N93" s="34"/>
      <c r="O93" s="46">
        <f>+O91+O76</f>
        <v>1511356</v>
      </c>
      <c r="P93" s="55"/>
      <c r="Q93" s="46">
        <f>+Q91+Q76</f>
        <v>1122219</v>
      </c>
      <c r="R93" s="34"/>
      <c r="S93" s="46">
        <f>+S91+S76</f>
        <v>3548334</v>
      </c>
      <c r="T93" s="55"/>
      <c r="U93" s="46">
        <f>+U91+U76</f>
        <v>141136</v>
      </c>
      <c r="V93" s="34"/>
      <c r="W93" s="46">
        <f>+W91+W76</f>
        <v>6465101</v>
      </c>
      <c r="X93" s="34"/>
      <c r="Y93" s="46">
        <f>+Y91+Y76</f>
        <v>1773334</v>
      </c>
      <c r="Z93" s="34"/>
      <c r="AA93" s="46">
        <f>+AA91+AA76</f>
        <v>572786</v>
      </c>
      <c r="AB93" s="55"/>
      <c r="AC93" s="46">
        <f>+AC91+AC76</f>
        <v>563951</v>
      </c>
      <c r="AD93" s="34"/>
      <c r="AE93" s="46">
        <f t="shared" ref="AE93" si="74">+AE91+AE76</f>
        <v>132520</v>
      </c>
      <c r="AF93" s="34"/>
      <c r="AG93" s="46">
        <f t="shared" ref="AG93" si="75">+AG91+AG76</f>
        <v>156766</v>
      </c>
      <c r="AH93" s="34"/>
      <c r="AI93" s="208">
        <f t="shared" si="36"/>
        <v>4</v>
      </c>
    </row>
    <row r="94" spans="1:39" ht="19.5" customHeight="1">
      <c r="E94" s="276"/>
      <c r="F94" s="276"/>
      <c r="G94" s="325"/>
      <c r="H94" s="276"/>
      <c r="I94" s="361"/>
      <c r="S94" s="206"/>
      <c r="T94" s="206"/>
      <c r="U94" s="206"/>
      <c r="AA94" s="206"/>
      <c r="AB94" s="206"/>
      <c r="AC94" s="206"/>
      <c r="AE94" s="206"/>
      <c r="AG94" s="206"/>
      <c r="AI94" s="208">
        <f t="shared" si="36"/>
        <v>0</v>
      </c>
    </row>
    <row r="95" spans="1:39" ht="15.75">
      <c r="C95" s="34" t="s">
        <v>232</v>
      </c>
      <c r="E95" s="276"/>
      <c r="F95" s="276"/>
      <c r="G95" s="325"/>
      <c r="H95" s="276"/>
      <c r="I95" s="361"/>
      <c r="AI95" s="208">
        <f t="shared" si="36"/>
        <v>0</v>
      </c>
    </row>
    <row r="96" spans="1:39" ht="3" customHeight="1">
      <c r="C96" s="200" t="s">
        <v>218</v>
      </c>
      <c r="E96" s="276" t="s">
        <v>219</v>
      </c>
      <c r="F96" s="276"/>
      <c r="G96" s="325"/>
      <c r="H96" s="276"/>
      <c r="I96" s="361"/>
      <c r="AI96" s="208">
        <f t="shared" ref="AI96:AI127" si="76">SUM(K96:AG96)-I96</f>
        <v>0</v>
      </c>
    </row>
    <row r="97" spans="1:37">
      <c r="C97" s="200" t="s">
        <v>218</v>
      </c>
      <c r="E97" s="652" t="s">
        <v>207</v>
      </c>
      <c r="F97" s="276"/>
      <c r="G97" s="325"/>
      <c r="H97" s="276"/>
      <c r="I97" s="361"/>
      <c r="AI97" s="208">
        <f t="shared" si="76"/>
        <v>0</v>
      </c>
    </row>
    <row r="98" spans="1:37" s="54" customFormat="1">
      <c r="A98" s="200"/>
      <c r="B98" s="200"/>
      <c r="C98" s="210">
        <v>901</v>
      </c>
      <c r="D98" s="200"/>
      <c r="E98" s="276" t="s">
        <v>167</v>
      </c>
      <c r="F98" s="276"/>
      <c r="G98" s="325">
        <v>7</v>
      </c>
      <c r="H98" s="276"/>
      <c r="I98" s="361">
        <f>+Linkin!H81</f>
        <v>132000</v>
      </c>
      <c r="J98" s="200"/>
      <c r="K98" s="207">
        <f>ROUND(VLOOKUP($G98,factors,+K$318)*$I98,0)</f>
        <v>0</v>
      </c>
      <c r="L98" s="200"/>
      <c r="M98" s="206">
        <f>ROUND(VLOOKUP($G98,factors,+M$318)*$I98,0)</f>
        <v>0</v>
      </c>
      <c r="N98" s="207"/>
      <c r="O98" s="206">
        <f>ROUND(VLOOKUP($G98,factors,+O$318)*$I98,0)</f>
        <v>0</v>
      </c>
      <c r="P98" s="206"/>
      <c r="Q98" s="206">
        <f>ROUND(VLOOKUP($G98,factors,+Q$318)*$I98,0)</f>
        <v>0</v>
      </c>
      <c r="R98" s="207"/>
      <c r="S98" s="206">
        <f>ROUND(VLOOKUP($G98,factors,+S$318)*$I98,0)</f>
        <v>0</v>
      </c>
      <c r="T98" s="206"/>
      <c r="U98" s="206">
        <f>ROUND(VLOOKUP($G98,factors,+U$318)*$I98,0)</f>
        <v>0</v>
      </c>
      <c r="V98" s="206"/>
      <c r="W98" s="206">
        <f>ROUND(VLOOKUP($G98,factors,+W$318)*$I98,0)</f>
        <v>118826</v>
      </c>
      <c r="X98" s="206"/>
      <c r="Y98" s="206">
        <f>ROUND(VLOOKUP($G98,factors,+Y$318)*$I98,0)</f>
        <v>12685</v>
      </c>
      <c r="Z98" s="206"/>
      <c r="AA98" s="206">
        <f>ROUND(VLOOKUP($G98,factors,+AA$318)*$I98,0)</f>
        <v>343</v>
      </c>
      <c r="AB98" s="206"/>
      <c r="AC98" s="206">
        <f>ROUND(VLOOKUP($G98,factors,+AC$318)*$I98,0)</f>
        <v>106</v>
      </c>
      <c r="AD98" s="206"/>
      <c r="AE98" s="206">
        <f>ROUND(VLOOKUP($G98,factors,+AE$318)*$I98,0)</f>
        <v>13</v>
      </c>
      <c r="AF98" s="206"/>
      <c r="AG98" s="206">
        <f>ROUND(VLOOKUP($G98,factors,+AG$318)*$I98,0)</f>
        <v>26</v>
      </c>
      <c r="AH98" s="200"/>
      <c r="AI98" s="208">
        <f t="shared" si="76"/>
        <v>-1</v>
      </c>
      <c r="AJ98" s="200"/>
      <c r="AK98" s="200"/>
    </row>
    <row r="99" spans="1:37">
      <c r="C99" s="210">
        <v>902</v>
      </c>
      <c r="E99" s="276" t="s">
        <v>123</v>
      </c>
      <c r="F99" s="276"/>
      <c r="G99" s="325">
        <v>7</v>
      </c>
      <c r="H99" s="276"/>
      <c r="I99" s="361">
        <f>+Linkin!H82</f>
        <v>444000</v>
      </c>
      <c r="K99" s="207">
        <f>ROUND(VLOOKUP($G99,factors,+K$318)*$I99,0)</f>
        <v>0</v>
      </c>
      <c r="M99" s="206">
        <f>ROUND(VLOOKUP($G99,factors,+M$318)*$I99,0)</f>
        <v>0</v>
      </c>
      <c r="N99" s="207"/>
      <c r="O99" s="206">
        <f>ROUND(VLOOKUP($G99,factors,+O$318)*$I99,0)</f>
        <v>0</v>
      </c>
      <c r="P99" s="206"/>
      <c r="Q99" s="206">
        <f>ROUND(VLOOKUP($G99,factors,+Q$318)*$I99,0)</f>
        <v>0</v>
      </c>
      <c r="R99" s="207"/>
      <c r="S99" s="206">
        <f>ROUND(VLOOKUP($G99,factors,+S$318)*$I99,0)</f>
        <v>0</v>
      </c>
      <c r="T99" s="206"/>
      <c r="U99" s="206">
        <f>ROUND(VLOOKUP($G99,factors,+U$318)*$I99,0)</f>
        <v>0</v>
      </c>
      <c r="V99" s="206"/>
      <c r="W99" s="206">
        <f>ROUND(VLOOKUP($G99,factors,+W$318)*$I99,0)</f>
        <v>399689</v>
      </c>
      <c r="X99" s="206"/>
      <c r="Y99" s="206">
        <f>ROUND(VLOOKUP($G99,factors,+Y$318)*$I99,0)</f>
        <v>42668</v>
      </c>
      <c r="Z99" s="206"/>
      <c r="AA99" s="206">
        <f>ROUND(VLOOKUP($G99,factors,+AA$318)*$I99,0)</f>
        <v>1154</v>
      </c>
      <c r="AB99" s="206"/>
      <c r="AC99" s="206">
        <f>ROUND(VLOOKUP($G99,factors,+AC$318)*$I99,0)</f>
        <v>355</v>
      </c>
      <c r="AD99" s="206"/>
      <c r="AE99" s="206">
        <f>ROUND(VLOOKUP($G99,factors,+AE$318)*$I99,0)</f>
        <v>44</v>
      </c>
      <c r="AF99" s="206"/>
      <c r="AG99" s="206">
        <f>ROUND(VLOOKUP($G99,factors,+AG$318)*$I99,0)</f>
        <v>89</v>
      </c>
      <c r="AI99" s="208">
        <f t="shared" si="76"/>
        <v>-1</v>
      </c>
    </row>
    <row r="100" spans="1:37">
      <c r="A100" s="565" t="s">
        <v>575</v>
      </c>
      <c r="B100" s="565" t="s">
        <v>574</v>
      </c>
      <c r="C100" s="210">
        <v>903</v>
      </c>
      <c r="E100" s="276" t="s">
        <v>124</v>
      </c>
      <c r="F100" s="276"/>
      <c r="G100" s="325">
        <v>7</v>
      </c>
      <c r="H100" s="276"/>
      <c r="I100" s="361">
        <f>+Linkin!H83-I101</f>
        <v>4435000</v>
      </c>
      <c r="K100" s="207">
        <f>ROUND(VLOOKUP($G100,factors,+K$318)*$I100,0)</f>
        <v>0</v>
      </c>
      <c r="M100" s="206">
        <f>ROUND(VLOOKUP($G100,factors,+M$318)*$I100,0)</f>
        <v>0</v>
      </c>
      <c r="N100" s="207"/>
      <c r="O100" s="206">
        <f>ROUND(VLOOKUP($G100,factors,+O$318)*$I100,0)</f>
        <v>0</v>
      </c>
      <c r="P100" s="206"/>
      <c r="Q100" s="206">
        <f>ROUND(VLOOKUP($G100,factors,+Q$318)*$I100,0)</f>
        <v>0</v>
      </c>
      <c r="R100" s="207"/>
      <c r="S100" s="206">
        <f>ROUND(VLOOKUP($G100,factors,+S$318)*$I100,0)</f>
        <v>0</v>
      </c>
      <c r="T100" s="206"/>
      <c r="U100" s="206">
        <f>ROUND(VLOOKUP($G100,factors,+U$318)*$I100,0)</f>
        <v>0</v>
      </c>
      <c r="V100" s="206"/>
      <c r="W100" s="206">
        <f>ROUND(VLOOKUP($G100,factors,+W$318)*$I100,0)</f>
        <v>3992387</v>
      </c>
      <c r="X100" s="206"/>
      <c r="Y100" s="206">
        <f>ROUND(VLOOKUP($G100,factors,+Y$318)*$I100,0)</f>
        <v>426204</v>
      </c>
      <c r="Z100" s="206"/>
      <c r="AA100" s="206">
        <f>ROUND(VLOOKUP($G100,factors,+AA$318)*$I100,0)</f>
        <v>11531</v>
      </c>
      <c r="AB100" s="206"/>
      <c r="AC100" s="206">
        <f>ROUND(VLOOKUP($G100,factors,+AC$318)*$I100,0)</f>
        <v>3548</v>
      </c>
      <c r="AD100" s="206"/>
      <c r="AE100" s="206">
        <f>ROUND(VLOOKUP($G100,factors,+AE$318)*$I100,0)</f>
        <v>444</v>
      </c>
      <c r="AF100" s="206"/>
      <c r="AG100" s="206">
        <f>ROUND(VLOOKUP($G100,factors,+AG$318)*$I100,0)</f>
        <v>887</v>
      </c>
      <c r="AI100" s="208">
        <f t="shared" si="76"/>
        <v>1</v>
      </c>
    </row>
    <row r="101" spans="1:37">
      <c r="A101" s="745"/>
      <c r="B101" s="745"/>
      <c r="C101" s="210">
        <v>903.1</v>
      </c>
      <c r="E101" s="324" t="s">
        <v>696</v>
      </c>
      <c r="F101" s="276"/>
      <c r="G101" s="478" t="s">
        <v>391</v>
      </c>
      <c r="H101" s="276"/>
      <c r="I101" s="361">
        <v>3732000</v>
      </c>
      <c r="K101" s="207"/>
      <c r="M101" s="206"/>
      <c r="N101" s="207"/>
      <c r="O101" s="206"/>
      <c r="P101" s="206"/>
      <c r="Q101" s="206"/>
      <c r="R101" s="207"/>
      <c r="S101" s="206"/>
      <c r="T101" s="206"/>
      <c r="U101" s="206"/>
      <c r="V101" s="206"/>
      <c r="W101" s="206">
        <f>+I101</f>
        <v>3732000</v>
      </c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I101" s="208">
        <f t="shared" si="76"/>
        <v>0</v>
      </c>
    </row>
    <row r="102" spans="1:37">
      <c r="A102" s="566">
        <v>2630.0319397695012</v>
      </c>
      <c r="B102" s="216">
        <v>2904</v>
      </c>
      <c r="C102" s="210">
        <v>904</v>
      </c>
      <c r="E102" s="324" t="s">
        <v>314</v>
      </c>
      <c r="F102" s="324"/>
      <c r="G102" s="478">
        <v>19</v>
      </c>
      <c r="H102" s="324"/>
      <c r="I102" s="361">
        <f>IF(ROR!C2=2,+Alloc!B102*1000,Alloc!A102*1000)</f>
        <v>2904000</v>
      </c>
      <c r="J102" s="324"/>
      <c r="K102" s="327">
        <v>907787</v>
      </c>
      <c r="L102" s="276"/>
      <c r="M102" s="361">
        <v>31078</v>
      </c>
      <c r="N102" s="207"/>
      <c r="O102" s="206">
        <f>ROUND(VLOOKUP($G102,factors,+O$318)*$I102,0)</f>
        <v>0</v>
      </c>
      <c r="P102" s="206"/>
      <c r="Q102" s="206">
        <f>ROUND(VLOOKUP($G102,factors,+Q$318)*$I102,0)</f>
        <v>0</v>
      </c>
      <c r="R102" s="207"/>
      <c r="S102" s="206">
        <f>ROUND(VLOOKUP($G102,factors,+S$318)*$I102,0)</f>
        <v>0</v>
      </c>
      <c r="T102" s="206"/>
      <c r="U102" s="206">
        <f>ROUND(VLOOKUP($G102,factors,+U$318)*$I102,0)</f>
        <v>0</v>
      </c>
      <c r="V102" s="206"/>
      <c r="W102" s="216">
        <f>ROUND(VLOOKUP($G102,factors,+W$318)*$I102,0)-K102</f>
        <v>1880053</v>
      </c>
      <c r="X102" s="206"/>
      <c r="Y102" s="206">
        <f>ROUND(VLOOKUP($G102,factors,+Y$318)*$I102,0)-M102</f>
        <v>81016</v>
      </c>
      <c r="Z102" s="206"/>
      <c r="AA102" s="206">
        <f>ROUND(VLOOKUP($G102,factors,+AA$318)*$I102,0)</f>
        <v>4066</v>
      </c>
      <c r="AB102" s="206"/>
      <c r="AC102" s="206">
        <f>ROUND(VLOOKUP($G102,factors,+AC$318)*$I102,0)</f>
        <v>0</v>
      </c>
      <c r="AD102" s="206"/>
      <c r="AE102" s="206">
        <f>ROUND(VLOOKUP($G102,factors,+AE$318)*$I102,0)</f>
        <v>0</v>
      </c>
      <c r="AF102" s="206"/>
      <c r="AG102" s="206">
        <f>ROUND(VLOOKUP($G102,factors,+AG$318)*$I102,0)</f>
        <v>0</v>
      </c>
      <c r="AI102" s="208">
        <f t="shared" si="76"/>
        <v>0</v>
      </c>
    </row>
    <row r="103" spans="1:37">
      <c r="C103" s="210">
        <v>905</v>
      </c>
      <c r="E103" s="276" t="s">
        <v>315</v>
      </c>
      <c r="F103" s="276"/>
      <c r="G103" s="325">
        <v>7</v>
      </c>
      <c r="H103" s="276"/>
      <c r="I103" s="361">
        <f>+Linkin!H85</f>
        <v>671000</v>
      </c>
      <c r="J103" s="201"/>
      <c r="K103" s="212">
        <f>ROUND(VLOOKUP($G103,factors,+K$318)*$I103,0)</f>
        <v>0</v>
      </c>
      <c r="L103" s="201"/>
      <c r="M103" s="211">
        <f>ROUND(VLOOKUP($G103,factors,+M$318)*$I103,0)</f>
        <v>0</v>
      </c>
      <c r="O103" s="211">
        <f>ROUND(VLOOKUP($G103,factors,+O$318)*$I103,0)</f>
        <v>0</v>
      </c>
      <c r="P103" s="214"/>
      <c r="Q103" s="211">
        <f>ROUND(VLOOKUP($G103,factors,+Q$318)*$I103,0)</f>
        <v>0</v>
      </c>
      <c r="S103" s="211">
        <f>ROUND(VLOOKUP($G103,factors,+S$318)*$I103,0)</f>
        <v>0</v>
      </c>
      <c r="T103" s="214"/>
      <c r="U103" s="211">
        <f>ROUND(VLOOKUP($G103,factors,+U$318)*$I103,0)</f>
        <v>0</v>
      </c>
      <c r="V103" s="206"/>
      <c r="W103" s="211">
        <f>ROUND(VLOOKUP($G103,factors,+W$318)*$I103,0)</f>
        <v>604034</v>
      </c>
      <c r="X103" s="206"/>
      <c r="Y103" s="211">
        <f>ROUND(VLOOKUP($G103,factors,+Y$318)*$I103,0)</f>
        <v>64483</v>
      </c>
      <c r="Z103" s="206"/>
      <c r="AA103" s="211">
        <f>ROUND(VLOOKUP($G103,factors,+AA$318)*$I103,0)</f>
        <v>1745</v>
      </c>
      <c r="AB103" s="214"/>
      <c r="AC103" s="211">
        <f>ROUND(VLOOKUP($G103,factors,+AC$318)*$I103,0)</f>
        <v>537</v>
      </c>
      <c r="AD103" s="206"/>
      <c r="AE103" s="211">
        <f>ROUND(VLOOKUP($G103,factors,+AE$318)*$I103,0)</f>
        <v>67</v>
      </c>
      <c r="AF103" s="206"/>
      <c r="AG103" s="211">
        <f>ROUND(VLOOKUP($G103,factors,+AG$318)*$I103,0)</f>
        <v>134</v>
      </c>
      <c r="AI103" s="208">
        <f t="shared" si="76"/>
        <v>0</v>
      </c>
    </row>
    <row r="104" spans="1:37" ht="15.75">
      <c r="E104" s="654" t="s">
        <v>233</v>
      </c>
      <c r="F104" s="654"/>
      <c r="G104" s="655"/>
      <c r="H104" s="654"/>
      <c r="I104" s="660">
        <f>SUM(I98:I103)</f>
        <v>12318000</v>
      </c>
      <c r="J104" s="34"/>
      <c r="K104" s="46">
        <f>SUM(K98:K103)</f>
        <v>907787</v>
      </c>
      <c r="L104" s="34"/>
      <c r="M104" s="46">
        <f>SUM(M98:M103)</f>
        <v>31078</v>
      </c>
      <c r="N104" s="34"/>
      <c r="O104" s="46">
        <f>SUM(O98:O103)</f>
        <v>0</v>
      </c>
      <c r="P104" s="55"/>
      <c r="Q104" s="46">
        <f>SUM(Q98:Q103)</f>
        <v>0</v>
      </c>
      <c r="R104" s="34"/>
      <c r="S104" s="46">
        <f>SUM(S98:S103)</f>
        <v>0</v>
      </c>
      <c r="T104" s="55"/>
      <c r="U104" s="46">
        <f>SUM(U98:U103)</f>
        <v>0</v>
      </c>
      <c r="V104" s="34"/>
      <c r="W104" s="46">
        <f>SUM(W98:W103)</f>
        <v>10726989</v>
      </c>
      <c r="X104" s="34"/>
      <c r="Y104" s="46">
        <f>SUM(Y98:Y103)</f>
        <v>627056</v>
      </c>
      <c r="Z104" s="34"/>
      <c r="AA104" s="46">
        <f>SUM(AA98:AA103)</f>
        <v>18839</v>
      </c>
      <c r="AB104" s="55"/>
      <c r="AC104" s="46">
        <f>SUM(AC98:AC103)</f>
        <v>4546</v>
      </c>
      <c r="AD104" s="34"/>
      <c r="AE104" s="46">
        <f>SUM(AE98:AE103)</f>
        <v>568</v>
      </c>
      <c r="AF104" s="34"/>
      <c r="AG104" s="46">
        <f>SUM(AG98:AG103)</f>
        <v>1136</v>
      </c>
      <c r="AH104" s="34"/>
      <c r="AI104" s="208">
        <f t="shared" si="76"/>
        <v>-1</v>
      </c>
    </row>
    <row r="105" spans="1:37" ht="21" customHeight="1">
      <c r="E105" s="276"/>
      <c r="F105" s="276"/>
      <c r="G105" s="325"/>
      <c r="H105" s="276"/>
      <c r="I105" s="361"/>
      <c r="K105" s="206"/>
      <c r="M105" s="206"/>
      <c r="O105" s="206"/>
      <c r="P105" s="206"/>
      <c r="Q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I105" s="208">
        <f t="shared" si="76"/>
        <v>0</v>
      </c>
    </row>
    <row r="106" spans="1:37" ht="15.75">
      <c r="C106" s="34" t="s">
        <v>234</v>
      </c>
      <c r="E106" s="276"/>
      <c r="F106" s="276"/>
      <c r="G106" s="325"/>
      <c r="H106" s="276"/>
      <c r="I106" s="361"/>
      <c r="K106" s="206"/>
      <c r="M106" s="206"/>
      <c r="O106" s="206"/>
      <c r="P106" s="206"/>
      <c r="Q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I106" s="208">
        <f t="shared" si="76"/>
        <v>0</v>
      </c>
    </row>
    <row r="107" spans="1:37" ht="3" customHeight="1">
      <c r="C107" s="200" t="s">
        <v>218</v>
      </c>
      <c r="E107" s="276" t="s">
        <v>219</v>
      </c>
      <c r="F107" s="276"/>
      <c r="G107" s="325"/>
      <c r="H107" s="276"/>
      <c r="I107" s="361"/>
      <c r="K107" s="206"/>
      <c r="M107" s="206"/>
      <c r="O107" s="206"/>
      <c r="P107" s="206"/>
      <c r="Q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I107" s="208">
        <f t="shared" si="76"/>
        <v>0</v>
      </c>
    </row>
    <row r="108" spans="1:37">
      <c r="C108" s="200" t="s">
        <v>218</v>
      </c>
      <c r="E108" s="652" t="s">
        <v>207</v>
      </c>
      <c r="F108" s="276"/>
      <c r="G108" s="325"/>
      <c r="H108" s="276"/>
      <c r="I108" s="361"/>
      <c r="K108" s="206"/>
      <c r="M108" s="206"/>
      <c r="O108" s="206"/>
      <c r="P108" s="206"/>
      <c r="Q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I108" s="208">
        <f t="shared" si="76"/>
        <v>0</v>
      </c>
    </row>
    <row r="109" spans="1:37">
      <c r="C109" s="210">
        <v>907</v>
      </c>
      <c r="E109" s="276" t="s">
        <v>167</v>
      </c>
      <c r="F109" s="276"/>
      <c r="G109" s="325">
        <v>7</v>
      </c>
      <c r="H109" s="276"/>
      <c r="I109" s="361">
        <f>+Linkin!H89</f>
        <v>0</v>
      </c>
      <c r="K109" s="214">
        <f>ROUND(VLOOKUP($G109,factors,+K$318)*$I109,0)</f>
        <v>0</v>
      </c>
      <c r="L109" s="201"/>
      <c r="M109" s="214">
        <f>ROUND(VLOOKUP($G109,factors,+M$318)*$I109,0)</f>
        <v>0</v>
      </c>
      <c r="N109" s="213"/>
      <c r="O109" s="214">
        <f>ROUND(VLOOKUP($G109,factors,+O$318)*$I109,0)</f>
        <v>0</v>
      </c>
      <c r="P109" s="214"/>
      <c r="Q109" s="214">
        <f>ROUND(VLOOKUP($G109,factors,+Q$318)*$I109,0)</f>
        <v>0</v>
      </c>
      <c r="R109" s="213"/>
      <c r="S109" s="214">
        <f>ROUND(VLOOKUP($G109,factors,+S$318)*$I109,0)</f>
        <v>0</v>
      </c>
      <c r="T109" s="214"/>
      <c r="U109" s="214">
        <f>ROUND(VLOOKUP($G109,factors,+U$318)*$I109,0)</f>
        <v>0</v>
      </c>
      <c r="V109" s="214"/>
      <c r="W109" s="214">
        <f>ROUND(VLOOKUP($G109,factors,+W$318)*$I109,0)</f>
        <v>0</v>
      </c>
      <c r="X109" s="214"/>
      <c r="Y109" s="214">
        <f>ROUND(VLOOKUP($G109,factors,+Y$318)*$I109,0)</f>
        <v>0</v>
      </c>
      <c r="Z109" s="214"/>
      <c r="AA109" s="214">
        <f>ROUND(VLOOKUP($G109,factors,+AA$318)*$I109,0)</f>
        <v>0</v>
      </c>
      <c r="AB109" s="214"/>
      <c r="AC109" s="214">
        <f>ROUND(VLOOKUP($G109,factors,+AC$318)*$I109,0)</f>
        <v>0</v>
      </c>
      <c r="AD109" s="214"/>
      <c r="AE109" s="214">
        <f>ROUND(VLOOKUP($G109,factors,+AE$318)*$I109,0)</f>
        <v>0</v>
      </c>
      <c r="AF109" s="214"/>
      <c r="AG109" s="214">
        <f>ROUND(VLOOKUP($G109,factors,+AG$318)*$I109,0)</f>
        <v>0</v>
      </c>
      <c r="AH109" s="201"/>
      <c r="AI109" s="208">
        <f t="shared" si="76"/>
        <v>0</v>
      </c>
    </row>
    <row r="110" spans="1:37">
      <c r="A110" s="205"/>
      <c r="B110" s="216"/>
      <c r="C110" s="210">
        <v>908</v>
      </c>
      <c r="E110" s="276" t="s">
        <v>86</v>
      </c>
      <c r="F110" s="276"/>
      <c r="G110" s="325">
        <v>9</v>
      </c>
      <c r="H110" s="276"/>
      <c r="I110" s="361">
        <f>+Linkin!H90</f>
        <v>431000</v>
      </c>
      <c r="J110" s="201"/>
      <c r="K110" s="214">
        <f>ROUND(VLOOKUP($G110,factors,+K$318)*$I110,0)</f>
        <v>0</v>
      </c>
      <c r="L110" s="201"/>
      <c r="M110" s="214">
        <f>ROUND(VLOOKUP($G110,factors,+M$318)*$I110,0)</f>
        <v>0</v>
      </c>
      <c r="N110" s="213"/>
      <c r="O110" s="214">
        <f>ROUND(VLOOKUP($G110,factors,+O$318)*$I110,0)</f>
        <v>0</v>
      </c>
      <c r="P110" s="214"/>
      <c r="Q110" s="214">
        <f>ROUND(VLOOKUP($G110,factors,+Q$318)*$I110,0)</f>
        <v>0</v>
      </c>
      <c r="R110" s="213"/>
      <c r="S110" s="214">
        <f>ROUND(VLOOKUP($G110,factors,+S$318)*$I110,0)</f>
        <v>0</v>
      </c>
      <c r="T110" s="214"/>
      <c r="U110" s="214">
        <f>ROUND(VLOOKUP($G110,factors,+U$318)*$I110,0)</f>
        <v>0</v>
      </c>
      <c r="V110" s="214"/>
      <c r="W110" s="214">
        <f>ROUND(VLOOKUP($G110,factors,+W$318)*$I110,0)</f>
        <v>431000</v>
      </c>
      <c r="X110" s="214"/>
      <c r="Y110" s="214">
        <f>ROUND(VLOOKUP($G110,factors,+Y$318)*$I110,0)</f>
        <v>0</v>
      </c>
      <c r="Z110" s="214"/>
      <c r="AA110" s="214">
        <f>ROUND(VLOOKUP($G110,factors,+AA$318)*$I110,0)</f>
        <v>0</v>
      </c>
      <c r="AB110" s="214"/>
      <c r="AC110" s="214">
        <f>ROUND(VLOOKUP($G110,factors,+AC$318)*$I110,0)</f>
        <v>0</v>
      </c>
      <c r="AD110" s="214"/>
      <c r="AE110" s="214">
        <f>ROUND(VLOOKUP($G110,factors,+AE$318)*$I110,0)</f>
        <v>0</v>
      </c>
      <c r="AF110" s="214"/>
      <c r="AG110" s="214">
        <f>ROUND(VLOOKUP($G110,factors,+AG$318)*$I110,0)</f>
        <v>0</v>
      </c>
      <c r="AH110" s="201"/>
      <c r="AI110" s="208">
        <f t="shared" si="76"/>
        <v>0</v>
      </c>
    </row>
    <row r="111" spans="1:37">
      <c r="A111" s="205"/>
      <c r="B111" s="216"/>
      <c r="C111" s="210">
        <v>909</v>
      </c>
      <c r="E111" s="276" t="s">
        <v>378</v>
      </c>
      <c r="F111" s="276"/>
      <c r="G111" s="325">
        <v>7</v>
      </c>
      <c r="H111" s="276"/>
      <c r="I111" s="361">
        <f>+Linkin!H91</f>
        <v>294000</v>
      </c>
      <c r="J111" s="201"/>
      <c r="K111" s="214">
        <f>ROUND(VLOOKUP($G111,factors,+K$318)*$I111,0)</f>
        <v>0</v>
      </c>
      <c r="L111" s="201"/>
      <c r="M111" s="214">
        <f>ROUND(VLOOKUP($G111,factors,+M$318)*$I111,0)</f>
        <v>0</v>
      </c>
      <c r="N111" s="213"/>
      <c r="O111" s="214">
        <f>ROUND(VLOOKUP($G111,factors,+O$318)*$I111,0)</f>
        <v>0</v>
      </c>
      <c r="P111" s="214"/>
      <c r="Q111" s="214">
        <f>ROUND(VLOOKUP($G111,factors,+Q$318)*$I111,0)</f>
        <v>0</v>
      </c>
      <c r="R111" s="213"/>
      <c r="S111" s="214">
        <f>ROUND(VLOOKUP($G111,factors,+S$318)*$I111,0)</f>
        <v>0</v>
      </c>
      <c r="T111" s="214"/>
      <c r="U111" s="214">
        <f>ROUND(VLOOKUP($G111,factors,+U$318)*$I111,0)</f>
        <v>0</v>
      </c>
      <c r="V111" s="214"/>
      <c r="W111" s="214">
        <f>ROUND(VLOOKUP($G111,factors,+W$318)*$I111,0)</f>
        <v>264659</v>
      </c>
      <c r="X111" s="214"/>
      <c r="Y111" s="214">
        <f>ROUND(VLOOKUP($G111,factors,+Y$318)*$I111,0)</f>
        <v>28253</v>
      </c>
      <c r="Z111" s="214"/>
      <c r="AA111" s="214">
        <f>ROUND(VLOOKUP($G111,factors,+AA$318)*$I111,0)</f>
        <v>764</v>
      </c>
      <c r="AB111" s="214"/>
      <c r="AC111" s="214">
        <f>ROUND(VLOOKUP($G111,factors,+AC$318)*$I111,0)</f>
        <v>235</v>
      </c>
      <c r="AD111" s="214"/>
      <c r="AE111" s="214">
        <f>ROUND(VLOOKUP($G111,factors,+AE$318)*$I111,0)</f>
        <v>29</v>
      </c>
      <c r="AF111" s="214"/>
      <c r="AG111" s="214">
        <f>ROUND(VLOOKUP($G111,factors,+AG$318)*$I111,0)</f>
        <v>59</v>
      </c>
      <c r="AH111" s="201"/>
      <c r="AI111" s="208">
        <f t="shared" si="76"/>
        <v>-1</v>
      </c>
    </row>
    <row r="112" spans="1:37">
      <c r="C112" s="210">
        <v>910</v>
      </c>
      <c r="E112" s="276" t="s">
        <v>87</v>
      </c>
      <c r="F112" s="276"/>
      <c r="G112" s="325">
        <v>7</v>
      </c>
      <c r="H112" s="308"/>
      <c r="I112" s="361">
        <f>+Linkin!H92</f>
        <v>44000</v>
      </c>
      <c r="J112" s="201"/>
      <c r="K112" s="211">
        <f>ROUND(VLOOKUP($G112,factors,+K$318)*$I112,0)</f>
        <v>0</v>
      </c>
      <c r="L112" s="201"/>
      <c r="M112" s="211">
        <f>ROUND(VLOOKUP($G112,factors,+M$318)*$I112,0)</f>
        <v>0</v>
      </c>
      <c r="N112" s="213"/>
      <c r="O112" s="211">
        <f>ROUND(VLOOKUP($G112,factors,+O$318)*$I112,0)</f>
        <v>0</v>
      </c>
      <c r="P112" s="214"/>
      <c r="Q112" s="211">
        <f>ROUND(VLOOKUP($G112,factors,+Q$318)*$I112,0)</f>
        <v>0</v>
      </c>
      <c r="R112" s="213"/>
      <c r="S112" s="211">
        <f>ROUND(VLOOKUP($G112,factors,+S$318)*$I112,0)</f>
        <v>0</v>
      </c>
      <c r="T112" s="214"/>
      <c r="U112" s="211">
        <f>ROUND(VLOOKUP($G112,factors,+U$318)*$I112,0)</f>
        <v>0</v>
      </c>
      <c r="V112" s="214"/>
      <c r="W112" s="211">
        <f>ROUND(VLOOKUP($G112,factors,+W$318)*$I112,0)</f>
        <v>39609</v>
      </c>
      <c r="X112" s="214"/>
      <c r="Y112" s="211">
        <f>ROUND(VLOOKUP($G112,factors,+Y$318)*$I112,0)</f>
        <v>4228</v>
      </c>
      <c r="Z112" s="214"/>
      <c r="AA112" s="211">
        <f>ROUND(VLOOKUP($G112,factors,+AA$318)*$I112,0)</f>
        <v>114</v>
      </c>
      <c r="AB112" s="214"/>
      <c r="AC112" s="211">
        <f>ROUND(VLOOKUP($G112,factors,+AC$318)*$I112,0)</f>
        <v>35</v>
      </c>
      <c r="AD112" s="214"/>
      <c r="AE112" s="211">
        <f>ROUND(VLOOKUP($G112,factors,+AE$318)*$I112,0)</f>
        <v>4</v>
      </c>
      <c r="AF112" s="214"/>
      <c r="AG112" s="211">
        <f>ROUND(VLOOKUP($G112,factors,+AG$318)*$I112,0)</f>
        <v>9</v>
      </c>
      <c r="AH112" s="201"/>
      <c r="AI112" s="208">
        <f t="shared" si="76"/>
        <v>-1</v>
      </c>
      <c r="AJ112" s="201"/>
    </row>
    <row r="113" spans="1:37" ht="15.75">
      <c r="E113" s="654" t="s">
        <v>235</v>
      </c>
      <c r="F113" s="654"/>
      <c r="G113" s="655"/>
      <c r="H113" s="654"/>
      <c r="I113" s="660">
        <f>SUM(I109:I112)</f>
        <v>769000</v>
      </c>
      <c r="J113" s="34"/>
      <c r="K113" s="46">
        <f>SUM(K109:K112)</f>
        <v>0</v>
      </c>
      <c r="L113" s="34"/>
      <c r="M113" s="46">
        <f>SUM(M109:M112)</f>
        <v>0</v>
      </c>
      <c r="N113" s="34"/>
      <c r="O113" s="46">
        <f>SUM(O109:O112)</f>
        <v>0</v>
      </c>
      <c r="P113" s="55"/>
      <c r="Q113" s="46">
        <f>SUM(Q109:Q112)</f>
        <v>0</v>
      </c>
      <c r="R113" s="34"/>
      <c r="S113" s="46">
        <f>SUM(S109:S112)</f>
        <v>0</v>
      </c>
      <c r="T113" s="55"/>
      <c r="U113" s="46">
        <f>SUM(U109:U112)</f>
        <v>0</v>
      </c>
      <c r="V113" s="34"/>
      <c r="W113" s="46">
        <f>SUM(W109:W112)</f>
        <v>735268</v>
      </c>
      <c r="X113" s="34"/>
      <c r="Y113" s="46">
        <f>SUM(Y109:Y112)</f>
        <v>32481</v>
      </c>
      <c r="Z113" s="34"/>
      <c r="AA113" s="46">
        <f>SUM(AA109:AA112)</f>
        <v>878</v>
      </c>
      <c r="AB113" s="55"/>
      <c r="AC113" s="46">
        <f>SUM(AC109:AC112)</f>
        <v>270</v>
      </c>
      <c r="AD113" s="34"/>
      <c r="AE113" s="46">
        <f>SUM(AE109:AE112)</f>
        <v>33</v>
      </c>
      <c r="AF113" s="34"/>
      <c r="AG113" s="46">
        <f>SUM(AG109:AG112)</f>
        <v>68</v>
      </c>
      <c r="AH113" s="47"/>
      <c r="AI113" s="208">
        <f t="shared" si="76"/>
        <v>-2</v>
      </c>
    </row>
    <row r="114" spans="1:37">
      <c r="E114" s="276"/>
      <c r="F114" s="276"/>
      <c r="G114" s="325"/>
      <c r="H114" s="276"/>
      <c r="I114" s="361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6"/>
      <c r="AE114" s="206"/>
      <c r="AF114" s="206"/>
      <c r="AG114" s="206"/>
      <c r="AI114" s="208">
        <f t="shared" si="76"/>
        <v>0</v>
      </c>
    </row>
    <row r="115" spans="1:37" ht="15.75">
      <c r="C115" s="34" t="s">
        <v>236</v>
      </c>
      <c r="E115" s="276"/>
      <c r="F115" s="276"/>
      <c r="G115" s="325"/>
      <c r="H115" s="276"/>
      <c r="I115" s="361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6"/>
      <c r="AE115" s="206"/>
      <c r="AF115" s="206"/>
      <c r="AG115" s="206"/>
      <c r="AI115" s="208">
        <f t="shared" si="76"/>
        <v>0</v>
      </c>
    </row>
    <row r="116" spans="1:37" ht="3.75" customHeight="1">
      <c r="C116" s="200" t="s">
        <v>218</v>
      </c>
      <c r="E116" s="276" t="s">
        <v>219</v>
      </c>
      <c r="F116" s="276"/>
      <c r="G116" s="325"/>
      <c r="H116" s="276"/>
      <c r="I116" s="361"/>
      <c r="S116" s="206"/>
      <c r="T116" s="206"/>
      <c r="U116" s="206"/>
      <c r="V116" s="206"/>
      <c r="W116" s="206"/>
      <c r="X116" s="206"/>
      <c r="Y116" s="206"/>
      <c r="Z116" s="206"/>
      <c r="AA116" s="206"/>
      <c r="AB116" s="206"/>
      <c r="AC116" s="206"/>
      <c r="AD116" s="206"/>
      <c r="AE116" s="206"/>
      <c r="AF116" s="206"/>
      <c r="AG116" s="206"/>
      <c r="AI116" s="208">
        <f t="shared" si="76"/>
        <v>0</v>
      </c>
    </row>
    <row r="117" spans="1:37">
      <c r="C117" s="200" t="s">
        <v>218</v>
      </c>
      <c r="E117" s="652" t="s">
        <v>207</v>
      </c>
      <c r="F117" s="276"/>
      <c r="G117" s="325"/>
      <c r="H117" s="276"/>
      <c r="I117" s="361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6"/>
      <c r="AE117" s="206"/>
      <c r="AF117" s="206"/>
      <c r="AG117" s="206"/>
      <c r="AI117" s="208">
        <f t="shared" si="76"/>
        <v>0</v>
      </c>
    </row>
    <row r="118" spans="1:37" s="54" customFormat="1">
      <c r="A118" s="200"/>
      <c r="B118" s="200"/>
      <c r="C118" s="210">
        <v>911</v>
      </c>
      <c r="D118" s="200"/>
      <c r="E118" s="276" t="s">
        <v>167</v>
      </c>
      <c r="F118" s="276"/>
      <c r="G118" s="325">
        <v>8</v>
      </c>
      <c r="H118" s="276"/>
      <c r="I118" s="483">
        <f>+Linkin!H96</f>
        <v>0</v>
      </c>
      <c r="J118" s="201"/>
      <c r="K118" s="214">
        <f>ROUND(VLOOKUP($G118,factors,+K$318)*$I118,0)</f>
        <v>0</v>
      </c>
      <c r="L118" s="214"/>
      <c r="M118" s="214">
        <f>ROUND(VLOOKUP($G118,factors,+M$318)*$I118,0)</f>
        <v>0</v>
      </c>
      <c r="N118" s="214"/>
      <c r="O118" s="214">
        <f>ROUND(VLOOKUP($G118,factors,+O$318)*$I118,0)</f>
        <v>0</v>
      </c>
      <c r="P118" s="214"/>
      <c r="Q118" s="214">
        <f>ROUND(VLOOKUP($G118,factors,+Q$318)*$I118,0)</f>
        <v>0</v>
      </c>
      <c r="R118" s="213"/>
      <c r="S118" s="214">
        <f>ROUND(VLOOKUP($G118,factors,+S$318)*$I118,0)</f>
        <v>0</v>
      </c>
      <c r="T118" s="214"/>
      <c r="U118" s="214">
        <f>ROUND(VLOOKUP($G118,factors,+U$318)*$I118,0)</f>
        <v>0</v>
      </c>
      <c r="V118" s="214"/>
      <c r="W118" s="214">
        <f>ROUND(VLOOKUP($G118,factors,+W$318)*$I118,0)</f>
        <v>0</v>
      </c>
      <c r="X118" s="214"/>
      <c r="Y118" s="214">
        <f>ROUND(VLOOKUP($G118,factors,+Y$318)*$I118,0)</f>
        <v>0</v>
      </c>
      <c r="Z118" s="214"/>
      <c r="AA118" s="214">
        <f>ROUND(VLOOKUP($G118,factors,+AA$318)*$I118,0)</f>
        <v>0</v>
      </c>
      <c r="AB118" s="214"/>
      <c r="AC118" s="214">
        <f>ROUND(VLOOKUP($G118,factors,+AC$318)*$I118,0)</f>
        <v>0</v>
      </c>
      <c r="AD118" s="214"/>
      <c r="AE118" s="214">
        <f>ROUND(VLOOKUP($G118,factors,+AE$318)*$I118,0)</f>
        <v>0</v>
      </c>
      <c r="AF118" s="214"/>
      <c r="AG118" s="214">
        <f>ROUND(VLOOKUP($G118,factors,+AG$318)*$I118,0)</f>
        <v>0</v>
      </c>
      <c r="AH118" s="214"/>
      <c r="AI118" s="208">
        <f t="shared" si="76"/>
        <v>0</v>
      </c>
      <c r="AJ118" s="201"/>
      <c r="AK118" s="200"/>
    </row>
    <row r="119" spans="1:37">
      <c r="A119" s="200">
        <v>249</v>
      </c>
      <c r="B119" s="200">
        <v>1832</v>
      </c>
      <c r="C119" s="210">
        <v>912</v>
      </c>
      <c r="E119" s="324" t="s">
        <v>89</v>
      </c>
      <c r="F119" s="276"/>
      <c r="G119" s="325">
        <v>8</v>
      </c>
      <c r="H119" s="308"/>
      <c r="I119" s="483">
        <f>+Linkin!H97-I120</f>
        <v>251000</v>
      </c>
      <c r="J119" s="214"/>
      <c r="K119" s="214">
        <f>ROUND(VLOOKUP($G119,factors,+K$318)*$I119,0)</f>
        <v>0</v>
      </c>
      <c r="L119" s="214"/>
      <c r="M119" s="214">
        <f>ROUND(VLOOKUP($G119,factors,+M$318)*$I119,0)</f>
        <v>0</v>
      </c>
      <c r="N119" s="214"/>
      <c r="O119" s="214">
        <f>ROUND(VLOOKUP($G119,factors,+O$318)*$I119,0)</f>
        <v>0</v>
      </c>
      <c r="P119" s="214"/>
      <c r="Q119" s="214">
        <f>ROUND(VLOOKUP($G119,factors,+Q$318)*$I119,0)</f>
        <v>0</v>
      </c>
      <c r="R119" s="213"/>
      <c r="S119" s="214">
        <f>ROUND(VLOOKUP($G119,factors,+S$318)*$I119,0)</f>
        <v>0</v>
      </c>
      <c r="T119" s="214"/>
      <c r="U119" s="214">
        <f>ROUND(VLOOKUP($G119,factors,+U$318)*$I119,0)</f>
        <v>0</v>
      </c>
      <c r="V119" s="214"/>
      <c r="W119" s="214">
        <f>ROUND(VLOOKUP($G119,factors,+W$318)*$I119,0)</f>
        <v>226804</v>
      </c>
      <c r="X119" s="214"/>
      <c r="Y119" s="214">
        <f>ROUND(VLOOKUP($G119,factors,+Y$318)*$I119,0)</f>
        <v>24196</v>
      </c>
      <c r="Z119" s="214"/>
      <c r="AA119" s="214">
        <f>ROUND(VLOOKUP($G119,factors,+AA$318)*$I119,0)</f>
        <v>0</v>
      </c>
      <c r="AB119" s="214"/>
      <c r="AC119" s="214">
        <f>ROUND(VLOOKUP($G119,factors,+AC$318)*$I119,0)</f>
        <v>0</v>
      </c>
      <c r="AD119" s="214"/>
      <c r="AE119" s="214">
        <f>ROUND(VLOOKUP($G119,factors,+AE$318)*$I119,0)</f>
        <v>0</v>
      </c>
      <c r="AF119" s="214"/>
      <c r="AG119" s="214">
        <f>ROUND(VLOOKUP($G119,factors,+AG$318)*$I119,0)</f>
        <v>0</v>
      </c>
      <c r="AH119" s="214"/>
      <c r="AI119" s="208">
        <f t="shared" si="76"/>
        <v>0</v>
      </c>
      <c r="AJ119" s="201"/>
      <c r="AK119" s="201"/>
    </row>
    <row r="120" spans="1:37">
      <c r="C120" s="210">
        <v>912.1</v>
      </c>
      <c r="E120" s="324" t="s">
        <v>697</v>
      </c>
      <c r="F120" s="276"/>
      <c r="G120" s="478" t="s">
        <v>391</v>
      </c>
      <c r="H120" s="308"/>
      <c r="I120" s="483">
        <v>1730000</v>
      </c>
      <c r="J120" s="214"/>
      <c r="K120" s="214"/>
      <c r="L120" s="214"/>
      <c r="M120" s="214"/>
      <c r="N120" s="214"/>
      <c r="O120" s="214"/>
      <c r="P120" s="214"/>
      <c r="Q120" s="214"/>
      <c r="R120" s="213"/>
      <c r="S120" s="214"/>
      <c r="T120" s="214"/>
      <c r="U120" s="214"/>
      <c r="V120" s="214"/>
      <c r="W120" s="483">
        <f>+I120-Y120-AA120-AC120</f>
        <v>1337128</v>
      </c>
      <c r="X120" s="214"/>
      <c r="Y120" s="214">
        <v>223175</v>
      </c>
      <c r="Z120" s="214"/>
      <c r="AA120" s="214">
        <v>169697</v>
      </c>
      <c r="AB120" s="214"/>
      <c r="AC120" s="214">
        <v>0</v>
      </c>
      <c r="AD120" s="214"/>
      <c r="AE120" s="214">
        <v>0</v>
      </c>
      <c r="AF120" s="214"/>
      <c r="AG120" s="214">
        <v>0</v>
      </c>
      <c r="AH120" s="214"/>
      <c r="AI120" s="208">
        <f t="shared" si="76"/>
        <v>0</v>
      </c>
      <c r="AJ120" s="201"/>
      <c r="AK120" s="201"/>
    </row>
    <row r="121" spans="1:37">
      <c r="A121" s="200">
        <v>232</v>
      </c>
      <c r="C121" s="210">
        <v>913</v>
      </c>
      <c r="E121" s="276" t="s">
        <v>316</v>
      </c>
      <c r="F121" s="276"/>
      <c r="G121" s="325">
        <v>8</v>
      </c>
      <c r="H121" s="308"/>
      <c r="I121" s="483">
        <f>+Linkin!H98</f>
        <v>232000</v>
      </c>
      <c r="J121" s="201"/>
      <c r="K121" s="214">
        <f>ROUND(VLOOKUP($G121,factors,+K$318)*$I121,0)</f>
        <v>0</v>
      </c>
      <c r="L121" s="201"/>
      <c r="M121" s="214">
        <f>ROUND(VLOOKUP($G121,factors,+M$318)*$I121,0)</f>
        <v>0</v>
      </c>
      <c r="N121" s="201"/>
      <c r="O121" s="214">
        <f>ROUND(VLOOKUP($G121,factors,+O$318)*$I121,0)</f>
        <v>0</v>
      </c>
      <c r="P121" s="214"/>
      <c r="Q121" s="214">
        <f>ROUND(VLOOKUP($G121,factors,+Q$318)*$I121,0)</f>
        <v>0</v>
      </c>
      <c r="R121" s="201"/>
      <c r="S121" s="214">
        <f>ROUND(VLOOKUP($G121,factors,+S$318)*$I121,0)</f>
        <v>0</v>
      </c>
      <c r="T121" s="214"/>
      <c r="U121" s="214">
        <f>ROUND(VLOOKUP($G121,factors,+U$318)*$I121,0)</f>
        <v>0</v>
      </c>
      <c r="V121" s="201"/>
      <c r="W121" s="214">
        <f>ROUND(VLOOKUP($G121,factors,+W$318)*$I121,0)</f>
        <v>209635</v>
      </c>
      <c r="X121" s="201"/>
      <c r="Y121" s="214">
        <f>ROUND(VLOOKUP($G121,factors,+Y$318)*$I121,0)</f>
        <v>22365</v>
      </c>
      <c r="Z121" s="214"/>
      <c r="AA121" s="214">
        <f>ROUND(VLOOKUP($G121,factors,+AA$318)*$I121,0)</f>
        <v>0</v>
      </c>
      <c r="AB121" s="214"/>
      <c r="AC121" s="214">
        <f>ROUND(VLOOKUP($G121,factors,+AC$318)*$I121,0)</f>
        <v>0</v>
      </c>
      <c r="AD121" s="201"/>
      <c r="AE121" s="214">
        <f>ROUND(VLOOKUP($G121,factors,+AE$318)*$I121,0)</f>
        <v>0</v>
      </c>
      <c r="AF121" s="201"/>
      <c r="AG121" s="214">
        <f>ROUND(VLOOKUP($G121,factors,+AG$318)*$I121,0)</f>
        <v>0</v>
      </c>
      <c r="AH121" s="201"/>
      <c r="AI121" s="208">
        <f t="shared" si="76"/>
        <v>0</v>
      </c>
      <c r="AJ121" s="201"/>
      <c r="AK121" s="201"/>
    </row>
    <row r="122" spans="1:37" s="54" customFormat="1">
      <c r="A122" s="200">
        <v>44</v>
      </c>
      <c r="B122" s="200"/>
      <c r="C122" s="210">
        <v>916</v>
      </c>
      <c r="D122" s="200"/>
      <c r="E122" s="276" t="s">
        <v>392</v>
      </c>
      <c r="F122" s="276"/>
      <c r="G122" s="325">
        <v>8</v>
      </c>
      <c r="H122" s="276"/>
      <c r="I122" s="479">
        <f>+Linkin!H99</f>
        <v>61000</v>
      </c>
      <c r="J122" s="201"/>
      <c r="K122" s="211">
        <f>ROUND(VLOOKUP($G122,factors,+K$318)*$I122,0)</f>
        <v>0</v>
      </c>
      <c r="L122" s="201"/>
      <c r="M122" s="211"/>
      <c r="N122" s="201"/>
      <c r="O122" s="211"/>
      <c r="P122" s="214"/>
      <c r="Q122" s="211"/>
      <c r="R122" s="201"/>
      <c r="S122" s="211">
        <f>ROUND(VLOOKUP($G122,factors,+S$318)*$I122,0)</f>
        <v>0</v>
      </c>
      <c r="T122" s="214"/>
      <c r="U122" s="211">
        <f>ROUND(VLOOKUP($G122,factors,+U$318)*$I122,0)</f>
        <v>0</v>
      </c>
      <c r="V122" s="201"/>
      <c r="W122" s="211">
        <f>ROUND(VLOOKUP($G122,factors,+W$318)*$I122,0)</f>
        <v>55120</v>
      </c>
      <c r="X122" s="201"/>
      <c r="Y122" s="211">
        <f>ROUND(VLOOKUP($G122,factors,+Y$318)*$I122,0)</f>
        <v>5880</v>
      </c>
      <c r="Z122" s="214"/>
      <c r="AA122" s="211">
        <f>ROUND(VLOOKUP($G122,factors,+AA$318)*$I122,0)</f>
        <v>0</v>
      </c>
      <c r="AB122" s="214"/>
      <c r="AC122" s="211">
        <f>ROUND(VLOOKUP($G122,factors,+AC$318)*$I122,0)</f>
        <v>0</v>
      </c>
      <c r="AD122" s="201"/>
      <c r="AE122" s="211">
        <f>ROUND(VLOOKUP($G122,factors,+AE$318)*$I122,0)</f>
        <v>0</v>
      </c>
      <c r="AF122" s="201"/>
      <c r="AG122" s="211">
        <f>ROUND(VLOOKUP($G122,factors,+AG$318)*$I122,0)</f>
        <v>0</v>
      </c>
      <c r="AH122" s="201"/>
      <c r="AI122" s="208">
        <f t="shared" si="76"/>
        <v>0</v>
      </c>
      <c r="AJ122" s="201"/>
      <c r="AK122" s="200"/>
    </row>
    <row r="123" spans="1:37" ht="15.75">
      <c r="A123" s="200">
        <f>SUM(A119:A122)</f>
        <v>525</v>
      </c>
      <c r="B123" s="200">
        <f>SUM(B119:B122)</f>
        <v>1832</v>
      </c>
      <c r="E123" s="654" t="s">
        <v>237</v>
      </c>
      <c r="F123" s="654"/>
      <c r="G123" s="655"/>
      <c r="H123" s="654"/>
      <c r="I123" s="656">
        <f>SUM(I118:I122)</f>
        <v>2274000</v>
      </c>
      <c r="J123" s="34"/>
      <c r="K123" s="46">
        <f>SUM(K118:K122)</f>
        <v>0</v>
      </c>
      <c r="L123" s="34"/>
      <c r="M123" s="46">
        <f>SUM(M118:M122)</f>
        <v>0</v>
      </c>
      <c r="N123" s="34"/>
      <c r="O123" s="46">
        <f>SUM(O118:O122)</f>
        <v>0</v>
      </c>
      <c r="P123" s="55"/>
      <c r="Q123" s="46">
        <f>SUM(Q118:Q122)</f>
        <v>0</v>
      </c>
      <c r="R123" s="34"/>
      <c r="S123" s="46">
        <f>SUM(S118:S122)</f>
        <v>0</v>
      </c>
      <c r="T123" s="55"/>
      <c r="U123" s="46">
        <f>SUM(U118:U122)</f>
        <v>0</v>
      </c>
      <c r="V123" s="34"/>
      <c r="W123" s="46">
        <f>SUM(W118:W122)</f>
        <v>1828687</v>
      </c>
      <c r="X123" s="34"/>
      <c r="Y123" s="46">
        <f>SUM(Y118:Y122)</f>
        <v>275616</v>
      </c>
      <c r="Z123" s="34"/>
      <c r="AA123" s="46">
        <f>SUM(AA118:AA122)</f>
        <v>169697</v>
      </c>
      <c r="AB123" s="55"/>
      <c r="AC123" s="46">
        <f>SUM(AC118:AC122)</f>
        <v>0</v>
      </c>
      <c r="AD123" s="34"/>
      <c r="AE123" s="46">
        <f>SUM(AE118:AE122)</f>
        <v>0</v>
      </c>
      <c r="AF123" s="34"/>
      <c r="AG123" s="46">
        <f>SUM(AG118:AG122)</f>
        <v>0</v>
      </c>
      <c r="AH123" s="34"/>
      <c r="AI123" s="208">
        <f t="shared" si="76"/>
        <v>0</v>
      </c>
    </row>
    <row r="124" spans="1:37" ht="19.5" customHeight="1">
      <c r="B124" s="206"/>
      <c r="E124" s="276"/>
      <c r="F124" s="276"/>
      <c r="G124" s="325"/>
      <c r="H124" s="276"/>
      <c r="I124" s="361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6"/>
      <c r="AE124" s="206"/>
      <c r="AF124" s="206"/>
      <c r="AG124" s="206"/>
      <c r="AI124" s="208">
        <f t="shared" si="76"/>
        <v>0</v>
      </c>
    </row>
    <row r="125" spans="1:37" ht="15.75">
      <c r="C125" s="34" t="s">
        <v>238</v>
      </c>
      <c r="E125" s="276"/>
      <c r="F125" s="276"/>
      <c r="G125" s="325"/>
      <c r="H125" s="276"/>
      <c r="I125" s="361"/>
      <c r="S125" s="206"/>
      <c r="T125" s="206"/>
      <c r="U125" s="206"/>
      <c r="V125" s="206"/>
      <c r="W125" s="206"/>
      <c r="X125" s="206"/>
      <c r="Y125" s="206"/>
      <c r="Z125" s="206"/>
      <c r="AA125" s="206"/>
      <c r="AB125" s="206"/>
      <c r="AC125" s="206"/>
      <c r="AD125" s="206"/>
      <c r="AE125" s="206"/>
      <c r="AF125" s="206"/>
      <c r="AG125" s="206"/>
      <c r="AI125" s="208">
        <f t="shared" si="76"/>
        <v>0</v>
      </c>
    </row>
    <row r="126" spans="1:37" ht="3.75" customHeight="1">
      <c r="C126" s="200" t="s">
        <v>218</v>
      </c>
      <c r="E126" s="276" t="s">
        <v>219</v>
      </c>
      <c r="F126" s="276"/>
      <c r="G126" s="325"/>
      <c r="H126" s="276"/>
      <c r="I126" s="361"/>
      <c r="AI126" s="208">
        <f t="shared" si="76"/>
        <v>0</v>
      </c>
    </row>
    <row r="127" spans="1:37">
      <c r="C127" s="200" t="s">
        <v>218</v>
      </c>
      <c r="E127" s="652" t="s">
        <v>207</v>
      </c>
      <c r="F127" s="276"/>
      <c r="G127" s="325"/>
      <c r="H127" s="276"/>
      <c r="I127" s="361"/>
      <c r="AI127" s="208">
        <f t="shared" si="76"/>
        <v>0</v>
      </c>
    </row>
    <row r="128" spans="1:37">
      <c r="C128" s="210">
        <v>920</v>
      </c>
      <c r="E128" s="276" t="s">
        <v>223</v>
      </c>
      <c r="F128" s="276"/>
      <c r="G128" s="325">
        <v>12</v>
      </c>
      <c r="H128" s="276"/>
      <c r="I128" s="361">
        <f>+Linkin!H104</f>
        <v>7246000</v>
      </c>
      <c r="K128" s="207">
        <f t="shared" ref="K128:K137" si="77">ROUND(VLOOKUP($G128,factors,+K$318)*$I128,0)</f>
        <v>1549195</v>
      </c>
      <c r="M128" s="207">
        <f t="shared" ref="M128:M137" si="78">ROUND(VLOOKUP($G128,factors,+M$318)*$I128,0)</f>
        <v>586201</v>
      </c>
      <c r="N128" s="207"/>
      <c r="O128" s="207">
        <f t="shared" ref="O128:O137" si="79">ROUND(VLOOKUP($G128,factors,+O$318)*$I128,0)</f>
        <v>254335</v>
      </c>
      <c r="P128" s="207"/>
      <c r="Q128" s="207">
        <f t="shared" ref="Q128:Q137" si="80">ROUND(VLOOKUP($G128,factors,+Q$318)*$I128,0)</f>
        <v>188396</v>
      </c>
      <c r="R128" s="207"/>
      <c r="S128" s="206">
        <f t="shared" ref="S128:S137" si="81">ROUND(VLOOKUP($G128,factors,+S$318)*$I128,0)</f>
        <v>596346</v>
      </c>
      <c r="T128" s="206"/>
      <c r="U128" s="206">
        <f t="shared" ref="U128:U137" si="82">ROUND(VLOOKUP($G128,factors,+U$318)*$I128,0)</f>
        <v>23912</v>
      </c>
      <c r="V128" s="206"/>
      <c r="W128" s="206">
        <f t="shared" ref="W128:W137" si="83">ROUND(VLOOKUP($G128,factors,+W$318)*$I128,0)</f>
        <v>3319393</v>
      </c>
      <c r="X128" s="206"/>
      <c r="Y128" s="206">
        <f t="shared" ref="Y128:Y137" si="84">ROUND(VLOOKUP($G128,factors,+Y$318)*$I128,0)</f>
        <v>455049</v>
      </c>
      <c r="Z128" s="206"/>
      <c r="AA128" s="206">
        <f t="shared" ref="AA128:AA137" si="85">ROUND(VLOOKUP($G128,factors,+AA$318)*$I128,0)</f>
        <v>128254</v>
      </c>
      <c r="AB128" s="206"/>
      <c r="AC128" s="206">
        <f t="shared" ref="AC128:AC137" si="86">ROUND(VLOOKUP($G128,factors,+AC$318)*$I128,0)</f>
        <v>95647</v>
      </c>
      <c r="AD128" s="206"/>
      <c r="AE128" s="206">
        <f t="shared" ref="AE128:AE137" si="87">ROUND(VLOOKUP($G128,factors,+AE$318)*$I128,0)</f>
        <v>22463</v>
      </c>
      <c r="AF128" s="206"/>
      <c r="AG128" s="206">
        <f t="shared" ref="AG128:AG137" si="88">ROUND(VLOOKUP($G128,factors,+AG$318)*$I128,0)</f>
        <v>26810</v>
      </c>
      <c r="AI128" s="208">
        <f t="shared" ref="AI128:AI141" si="89">SUM(K128:AG128)-I128</f>
        <v>1</v>
      </c>
    </row>
    <row r="129" spans="1:37">
      <c r="C129" s="210">
        <v>921</v>
      </c>
      <c r="E129" s="324" t="s">
        <v>558</v>
      </c>
      <c r="F129" s="276"/>
      <c r="G129" s="325">
        <v>12</v>
      </c>
      <c r="H129" s="276"/>
      <c r="I129" s="361">
        <f>+Linkin!H105</f>
        <v>5145000</v>
      </c>
      <c r="K129" s="207">
        <f t="shared" si="77"/>
        <v>1100001</v>
      </c>
      <c r="M129" s="207">
        <f t="shared" si="78"/>
        <v>416231</v>
      </c>
      <c r="N129" s="207"/>
      <c r="O129" s="207">
        <f t="shared" si="79"/>
        <v>180590</v>
      </c>
      <c r="P129" s="207"/>
      <c r="Q129" s="207">
        <f t="shared" si="80"/>
        <v>133770</v>
      </c>
      <c r="R129" s="207"/>
      <c r="S129" s="206">
        <f t="shared" si="81"/>
        <v>423434</v>
      </c>
      <c r="T129" s="206"/>
      <c r="U129" s="206">
        <f t="shared" si="82"/>
        <v>16979</v>
      </c>
      <c r="V129" s="206"/>
      <c r="W129" s="206">
        <f t="shared" si="83"/>
        <v>2356925</v>
      </c>
      <c r="X129" s="206"/>
      <c r="Y129" s="206">
        <f t="shared" si="84"/>
        <v>323106</v>
      </c>
      <c r="Z129" s="206"/>
      <c r="AA129" s="206">
        <f t="shared" si="85"/>
        <v>91067</v>
      </c>
      <c r="AB129" s="206"/>
      <c r="AC129" s="206">
        <f t="shared" si="86"/>
        <v>67914</v>
      </c>
      <c r="AD129" s="206"/>
      <c r="AE129" s="206">
        <f t="shared" si="87"/>
        <v>15950</v>
      </c>
      <c r="AF129" s="206"/>
      <c r="AG129" s="206">
        <f t="shared" si="88"/>
        <v>19037</v>
      </c>
      <c r="AI129" s="208">
        <f t="shared" si="89"/>
        <v>4</v>
      </c>
    </row>
    <row r="130" spans="1:37">
      <c r="C130" s="210">
        <v>923</v>
      </c>
      <c r="E130" s="276" t="s">
        <v>360</v>
      </c>
      <c r="F130" s="276"/>
      <c r="G130" s="325">
        <v>12</v>
      </c>
      <c r="H130" s="276"/>
      <c r="I130" s="361">
        <f>+Linkin!H106</f>
        <v>5384000</v>
      </c>
      <c r="K130" s="207">
        <f t="shared" si="77"/>
        <v>1151099</v>
      </c>
      <c r="M130" s="207">
        <f t="shared" si="78"/>
        <v>435566</v>
      </c>
      <c r="N130" s="207"/>
      <c r="O130" s="207">
        <f t="shared" si="79"/>
        <v>188978</v>
      </c>
      <c r="P130" s="207"/>
      <c r="Q130" s="207">
        <f t="shared" si="80"/>
        <v>139984</v>
      </c>
      <c r="R130" s="207"/>
      <c r="S130" s="206">
        <f t="shared" si="81"/>
        <v>443103</v>
      </c>
      <c r="T130" s="206"/>
      <c r="U130" s="206">
        <f t="shared" si="82"/>
        <v>17767</v>
      </c>
      <c r="V130" s="206"/>
      <c r="W130" s="206">
        <f t="shared" si="83"/>
        <v>2466410</v>
      </c>
      <c r="X130" s="206"/>
      <c r="Y130" s="206">
        <f t="shared" si="84"/>
        <v>338115</v>
      </c>
      <c r="Z130" s="206"/>
      <c r="AA130" s="206">
        <f t="shared" si="85"/>
        <v>95297</v>
      </c>
      <c r="AB130" s="206"/>
      <c r="AC130" s="206">
        <f t="shared" si="86"/>
        <v>71069</v>
      </c>
      <c r="AD130" s="206"/>
      <c r="AE130" s="206">
        <f t="shared" si="87"/>
        <v>16690</v>
      </c>
      <c r="AF130" s="206"/>
      <c r="AG130" s="206">
        <f t="shared" si="88"/>
        <v>19921</v>
      </c>
      <c r="AI130" s="208">
        <f t="shared" si="89"/>
        <v>-1</v>
      </c>
    </row>
    <row r="131" spans="1:37">
      <c r="C131" s="210">
        <v>924</v>
      </c>
      <c r="E131" s="276" t="s">
        <v>224</v>
      </c>
      <c r="F131" s="276"/>
      <c r="G131" s="325">
        <v>12</v>
      </c>
      <c r="H131" s="276"/>
      <c r="I131" s="361">
        <f>+Linkin!H107</f>
        <v>35000</v>
      </c>
      <c r="K131" s="207">
        <f t="shared" si="77"/>
        <v>7483</v>
      </c>
      <c r="M131" s="207">
        <f t="shared" si="78"/>
        <v>2832</v>
      </c>
      <c r="N131" s="207"/>
      <c r="O131" s="207">
        <f t="shared" si="79"/>
        <v>1229</v>
      </c>
      <c r="P131" s="207"/>
      <c r="Q131" s="207">
        <f t="shared" si="80"/>
        <v>910</v>
      </c>
      <c r="R131" s="207"/>
      <c r="S131" s="206">
        <f t="shared" si="81"/>
        <v>2881</v>
      </c>
      <c r="T131" s="206"/>
      <c r="U131" s="206">
        <f t="shared" si="82"/>
        <v>116</v>
      </c>
      <c r="V131" s="206"/>
      <c r="W131" s="206">
        <f t="shared" si="83"/>
        <v>16034</v>
      </c>
      <c r="X131" s="206"/>
      <c r="Y131" s="206">
        <f t="shared" si="84"/>
        <v>2198</v>
      </c>
      <c r="Z131" s="206"/>
      <c r="AA131" s="206">
        <f t="shared" si="85"/>
        <v>620</v>
      </c>
      <c r="AB131" s="206"/>
      <c r="AC131" s="206">
        <f t="shared" si="86"/>
        <v>462</v>
      </c>
      <c r="AD131" s="206"/>
      <c r="AE131" s="206">
        <f t="shared" si="87"/>
        <v>109</v>
      </c>
      <c r="AF131" s="206"/>
      <c r="AG131" s="206">
        <f t="shared" si="88"/>
        <v>130</v>
      </c>
      <c r="AI131" s="208">
        <f t="shared" si="89"/>
        <v>4</v>
      </c>
    </row>
    <row r="132" spans="1:37">
      <c r="C132" s="210">
        <v>925</v>
      </c>
      <c r="E132" s="276" t="s">
        <v>279</v>
      </c>
      <c r="F132" s="276"/>
      <c r="G132" s="325">
        <v>12</v>
      </c>
      <c r="H132" s="276"/>
      <c r="I132" s="361">
        <f>+Linkin!H108</f>
        <v>3410000</v>
      </c>
      <c r="K132" s="207">
        <f t="shared" si="77"/>
        <v>729058</v>
      </c>
      <c r="M132" s="207">
        <f t="shared" si="78"/>
        <v>275869</v>
      </c>
      <c r="N132" s="207"/>
      <c r="O132" s="207">
        <f t="shared" si="79"/>
        <v>119691</v>
      </c>
      <c r="P132" s="207"/>
      <c r="Q132" s="207">
        <f t="shared" si="80"/>
        <v>88660</v>
      </c>
      <c r="R132" s="207"/>
      <c r="S132" s="206">
        <f t="shared" si="81"/>
        <v>280643</v>
      </c>
      <c r="T132" s="206"/>
      <c r="U132" s="206">
        <f t="shared" si="82"/>
        <v>11253</v>
      </c>
      <c r="V132" s="206"/>
      <c r="W132" s="206">
        <f t="shared" si="83"/>
        <v>1562121</v>
      </c>
      <c r="X132" s="206"/>
      <c r="Y132" s="206">
        <f t="shared" si="84"/>
        <v>214148</v>
      </c>
      <c r="Z132" s="206"/>
      <c r="AA132" s="206">
        <f t="shared" si="85"/>
        <v>60357</v>
      </c>
      <c r="AB132" s="206"/>
      <c r="AC132" s="206">
        <f t="shared" si="86"/>
        <v>45012</v>
      </c>
      <c r="AD132" s="206"/>
      <c r="AE132" s="206">
        <f t="shared" si="87"/>
        <v>10571</v>
      </c>
      <c r="AF132" s="206"/>
      <c r="AG132" s="206">
        <f t="shared" si="88"/>
        <v>12617</v>
      </c>
      <c r="AI132" s="208">
        <f t="shared" si="89"/>
        <v>0</v>
      </c>
    </row>
    <row r="133" spans="1:37">
      <c r="C133" s="210">
        <v>926</v>
      </c>
      <c r="E133" s="276" t="s">
        <v>132</v>
      </c>
      <c r="F133" s="276"/>
      <c r="G133" s="325">
        <v>13</v>
      </c>
      <c r="H133" s="276"/>
      <c r="I133" s="361">
        <f>+Linkin!H109</f>
        <v>4700000</v>
      </c>
      <c r="K133" s="207">
        <f t="shared" si="77"/>
        <v>905220</v>
      </c>
      <c r="M133" s="207">
        <f t="shared" si="78"/>
        <v>366130</v>
      </c>
      <c r="N133" s="207"/>
      <c r="O133" s="207">
        <f t="shared" si="79"/>
        <v>159330</v>
      </c>
      <c r="P133" s="207"/>
      <c r="Q133" s="207">
        <f t="shared" si="80"/>
        <v>117970</v>
      </c>
      <c r="R133" s="207"/>
      <c r="S133" s="206">
        <f t="shared" si="81"/>
        <v>382110</v>
      </c>
      <c r="T133" s="206"/>
      <c r="U133" s="206">
        <f t="shared" si="82"/>
        <v>15040</v>
      </c>
      <c r="W133" s="207">
        <f t="shared" si="83"/>
        <v>2078340</v>
      </c>
      <c r="X133" s="207"/>
      <c r="Y133" s="207">
        <f t="shared" si="84"/>
        <v>390570</v>
      </c>
      <c r="Z133" s="206"/>
      <c r="AA133" s="206">
        <f t="shared" si="85"/>
        <v>111860</v>
      </c>
      <c r="AB133" s="206"/>
      <c r="AC133" s="206">
        <f t="shared" si="86"/>
        <v>113740</v>
      </c>
      <c r="AE133" s="206">
        <f t="shared" si="87"/>
        <v>27730</v>
      </c>
      <c r="AG133" s="206">
        <f t="shared" si="88"/>
        <v>31960</v>
      </c>
      <c r="AH133" s="207"/>
      <c r="AI133" s="208">
        <f t="shared" si="89"/>
        <v>0</v>
      </c>
    </row>
    <row r="134" spans="1:37">
      <c r="C134" s="210">
        <v>928</v>
      </c>
      <c r="E134" s="276" t="s">
        <v>225</v>
      </c>
      <c r="F134" s="276"/>
      <c r="G134" s="325">
        <v>16</v>
      </c>
      <c r="H134" s="276"/>
      <c r="I134" s="361">
        <f>+Linkin!H110</f>
        <v>274000</v>
      </c>
      <c r="K134" s="207">
        <f t="shared" si="77"/>
        <v>72172</v>
      </c>
      <c r="M134" s="207">
        <f t="shared" si="78"/>
        <v>28660</v>
      </c>
      <c r="N134" s="207"/>
      <c r="O134" s="207">
        <f t="shared" si="79"/>
        <v>12166</v>
      </c>
      <c r="P134" s="207"/>
      <c r="Q134" s="207">
        <f t="shared" si="80"/>
        <v>9015</v>
      </c>
      <c r="R134" s="207"/>
      <c r="S134" s="206">
        <f t="shared" si="81"/>
        <v>22468</v>
      </c>
      <c r="T134" s="206"/>
      <c r="U134" s="206">
        <f t="shared" si="82"/>
        <v>1123</v>
      </c>
      <c r="W134" s="207">
        <f t="shared" si="83"/>
        <v>103134</v>
      </c>
      <c r="X134" s="207"/>
      <c r="Y134" s="207">
        <f t="shared" si="84"/>
        <v>16358</v>
      </c>
      <c r="Z134" s="206"/>
      <c r="AA134" s="206">
        <f t="shared" si="85"/>
        <v>3863</v>
      </c>
      <c r="AB134" s="206"/>
      <c r="AC134" s="206">
        <f t="shared" si="86"/>
        <v>3315</v>
      </c>
      <c r="AE134" s="206">
        <f t="shared" si="87"/>
        <v>795</v>
      </c>
      <c r="AG134" s="206">
        <f t="shared" si="88"/>
        <v>932</v>
      </c>
      <c r="AH134" s="207"/>
      <c r="AI134" s="208">
        <f t="shared" si="89"/>
        <v>1</v>
      </c>
    </row>
    <row r="135" spans="1:37">
      <c r="C135" s="210">
        <v>930</v>
      </c>
      <c r="E135" s="276" t="s">
        <v>226</v>
      </c>
      <c r="F135" s="276"/>
      <c r="G135" s="325">
        <v>12</v>
      </c>
      <c r="H135" s="276"/>
      <c r="I135" s="361">
        <f>+Linkin!H111</f>
        <v>137000</v>
      </c>
      <c r="K135" s="207">
        <f t="shared" si="77"/>
        <v>29291</v>
      </c>
      <c r="M135" s="207">
        <f t="shared" si="78"/>
        <v>11083</v>
      </c>
      <c r="N135" s="207"/>
      <c r="O135" s="207">
        <f t="shared" si="79"/>
        <v>4809</v>
      </c>
      <c r="P135" s="207"/>
      <c r="Q135" s="207">
        <f t="shared" si="80"/>
        <v>3562</v>
      </c>
      <c r="R135" s="207"/>
      <c r="S135" s="214">
        <f t="shared" si="81"/>
        <v>11275</v>
      </c>
      <c r="T135" s="214"/>
      <c r="U135" s="214">
        <f t="shared" si="82"/>
        <v>452</v>
      </c>
      <c r="W135" s="207">
        <f t="shared" si="83"/>
        <v>62760</v>
      </c>
      <c r="X135" s="207"/>
      <c r="Y135" s="207">
        <f t="shared" si="84"/>
        <v>8604</v>
      </c>
      <c r="Z135" s="206"/>
      <c r="AA135" s="214">
        <f t="shared" si="85"/>
        <v>2425</v>
      </c>
      <c r="AB135" s="214"/>
      <c r="AC135" s="214">
        <f t="shared" si="86"/>
        <v>1808</v>
      </c>
      <c r="AE135" s="214">
        <f t="shared" si="87"/>
        <v>425</v>
      </c>
      <c r="AG135" s="214">
        <f t="shared" si="88"/>
        <v>507</v>
      </c>
      <c r="AH135" s="207"/>
      <c r="AI135" s="208">
        <f t="shared" si="89"/>
        <v>1</v>
      </c>
    </row>
    <row r="136" spans="1:37">
      <c r="C136" s="210">
        <v>930</v>
      </c>
      <c r="E136" s="276" t="s">
        <v>283</v>
      </c>
      <c r="F136" s="276"/>
      <c r="G136" s="325">
        <v>12</v>
      </c>
      <c r="H136" s="276"/>
      <c r="I136" s="361">
        <f>+Linkin!H112</f>
        <v>596000</v>
      </c>
      <c r="K136" s="207">
        <f t="shared" si="77"/>
        <v>127425</v>
      </c>
      <c r="M136" s="207">
        <f t="shared" si="78"/>
        <v>48216</v>
      </c>
      <c r="N136" s="207"/>
      <c r="O136" s="207">
        <f t="shared" si="79"/>
        <v>20920</v>
      </c>
      <c r="P136" s="207"/>
      <c r="Q136" s="207">
        <f t="shared" si="80"/>
        <v>15496</v>
      </c>
      <c r="R136" s="207"/>
      <c r="S136" s="214">
        <f t="shared" si="81"/>
        <v>49051</v>
      </c>
      <c r="T136" s="214"/>
      <c r="U136" s="214">
        <f t="shared" si="82"/>
        <v>1967</v>
      </c>
      <c r="W136" s="207">
        <f t="shared" si="83"/>
        <v>273028</v>
      </c>
      <c r="X136" s="207"/>
      <c r="Y136" s="207">
        <f t="shared" si="84"/>
        <v>37429</v>
      </c>
      <c r="Z136" s="206"/>
      <c r="AA136" s="214">
        <f t="shared" si="85"/>
        <v>10549</v>
      </c>
      <c r="AB136" s="214"/>
      <c r="AC136" s="214">
        <f t="shared" si="86"/>
        <v>7867</v>
      </c>
      <c r="AE136" s="214">
        <f t="shared" si="87"/>
        <v>1848</v>
      </c>
      <c r="AG136" s="214">
        <f t="shared" si="88"/>
        <v>2205</v>
      </c>
      <c r="AH136" s="207"/>
      <c r="AI136" s="208">
        <f t="shared" si="89"/>
        <v>1</v>
      </c>
    </row>
    <row r="137" spans="1:37">
      <c r="C137" s="210">
        <v>931</v>
      </c>
      <c r="E137" s="276" t="s">
        <v>284</v>
      </c>
      <c r="F137" s="276"/>
      <c r="G137" s="325">
        <v>12</v>
      </c>
      <c r="H137" s="308"/>
      <c r="I137" s="361">
        <f>+Linkin!H113-3000</f>
        <v>549000</v>
      </c>
      <c r="J137" s="201"/>
      <c r="K137" s="212">
        <f t="shared" si="77"/>
        <v>117376</v>
      </c>
      <c r="L137" s="201"/>
      <c r="M137" s="212">
        <f t="shared" si="78"/>
        <v>44414</v>
      </c>
      <c r="O137" s="212">
        <f t="shared" si="79"/>
        <v>19270</v>
      </c>
      <c r="P137" s="213"/>
      <c r="Q137" s="212">
        <f t="shared" si="80"/>
        <v>14274</v>
      </c>
      <c r="S137" s="212">
        <f t="shared" si="81"/>
        <v>45183</v>
      </c>
      <c r="T137" s="213"/>
      <c r="U137" s="212">
        <f t="shared" si="82"/>
        <v>1812</v>
      </c>
      <c r="V137" s="201"/>
      <c r="W137" s="212">
        <f t="shared" si="83"/>
        <v>251497</v>
      </c>
      <c r="Y137" s="212">
        <f t="shared" si="84"/>
        <v>34477</v>
      </c>
      <c r="Z137" s="206"/>
      <c r="AA137" s="212">
        <f t="shared" si="85"/>
        <v>9717</v>
      </c>
      <c r="AB137" s="213"/>
      <c r="AC137" s="212">
        <f t="shared" si="86"/>
        <v>7247</v>
      </c>
      <c r="AD137" s="201"/>
      <c r="AE137" s="212">
        <f t="shared" si="87"/>
        <v>1702</v>
      </c>
      <c r="AF137" s="201"/>
      <c r="AG137" s="212">
        <f t="shared" si="88"/>
        <v>2031</v>
      </c>
      <c r="AI137" s="208">
        <f t="shared" si="89"/>
        <v>0</v>
      </c>
    </row>
    <row r="138" spans="1:37">
      <c r="C138" s="210" t="s">
        <v>218</v>
      </c>
      <c r="E138" s="276" t="s">
        <v>220</v>
      </c>
      <c r="F138" s="276"/>
      <c r="G138" s="325"/>
      <c r="H138" s="276"/>
      <c r="I138" s="651">
        <f>SUM(I128:I137)</f>
        <v>27476000</v>
      </c>
      <c r="K138" s="214">
        <f>SUM(K128:K137)</f>
        <v>5788320</v>
      </c>
      <c r="M138" s="214">
        <f>SUM(M128:M137)</f>
        <v>2215202</v>
      </c>
      <c r="O138" s="214">
        <f>SUM(O128:O137)</f>
        <v>961318</v>
      </c>
      <c r="P138" s="214"/>
      <c r="Q138" s="214">
        <f>SUM(Q128:Q137)</f>
        <v>712037</v>
      </c>
      <c r="S138" s="214">
        <f>SUM(S128:S137)</f>
        <v>2256494</v>
      </c>
      <c r="T138" s="214"/>
      <c r="U138" s="214">
        <f>SUM(U128:U137)</f>
        <v>90421</v>
      </c>
      <c r="W138" s="214">
        <f>SUM(W128:W137)</f>
        <v>12489642</v>
      </c>
      <c r="Y138" s="214">
        <f>SUM(Y128:Y137)</f>
        <v>1820054</v>
      </c>
      <c r="Z138" s="206"/>
      <c r="AA138" s="214">
        <f>SUM(AA128:AA137)</f>
        <v>514009</v>
      </c>
      <c r="AB138" s="214"/>
      <c r="AC138" s="214">
        <f>SUM(AC128:AC137)</f>
        <v>414081</v>
      </c>
      <c r="AE138" s="214">
        <f t="shared" ref="AE138" si="90">SUM(AE128:AE137)</f>
        <v>98283</v>
      </c>
      <c r="AG138" s="214">
        <f t="shared" ref="AG138" si="91">SUM(AG128:AG137)</f>
        <v>116150</v>
      </c>
      <c r="AI138" s="208">
        <f t="shared" si="89"/>
        <v>11</v>
      </c>
    </row>
    <row r="139" spans="1:37">
      <c r="C139" s="210"/>
      <c r="E139" s="276"/>
      <c r="F139" s="276"/>
      <c r="G139" s="325"/>
      <c r="H139" s="276"/>
      <c r="I139" s="361"/>
      <c r="S139" s="206"/>
      <c r="T139" s="206"/>
      <c r="U139" s="206"/>
      <c r="Z139" s="206"/>
      <c r="AA139" s="206"/>
      <c r="AB139" s="206"/>
      <c r="AC139" s="206"/>
      <c r="AE139" s="206"/>
      <c r="AG139" s="206"/>
      <c r="AI139" s="208">
        <f t="shared" si="89"/>
        <v>0</v>
      </c>
    </row>
    <row r="140" spans="1:37">
      <c r="C140" s="210" t="s">
        <v>218</v>
      </c>
      <c r="E140" s="652" t="s">
        <v>210</v>
      </c>
      <c r="F140" s="276"/>
      <c r="G140" s="325"/>
      <c r="H140" s="276"/>
      <c r="I140" s="361"/>
      <c r="S140" s="206"/>
      <c r="T140" s="206"/>
      <c r="U140" s="206"/>
      <c r="Z140" s="206"/>
      <c r="AA140" s="206"/>
      <c r="AB140" s="206"/>
      <c r="AC140" s="206"/>
      <c r="AE140" s="206"/>
      <c r="AG140" s="206"/>
      <c r="AI140" s="208">
        <f t="shared" si="89"/>
        <v>0</v>
      </c>
    </row>
    <row r="141" spans="1:37" s="54" customFormat="1">
      <c r="A141" s="200"/>
      <c r="B141" s="200"/>
      <c r="C141" s="210">
        <v>932</v>
      </c>
      <c r="D141" s="200"/>
      <c r="E141" s="276" t="s">
        <v>278</v>
      </c>
      <c r="F141" s="276"/>
      <c r="G141" s="325">
        <v>12</v>
      </c>
      <c r="H141" s="276"/>
      <c r="I141" s="361">
        <f>+Linkin!H117</f>
        <v>889000</v>
      </c>
      <c r="J141" s="200"/>
      <c r="K141" s="207">
        <f>ROUND(VLOOKUP($G141,factors,+K$318)*$I141,0)</f>
        <v>190068</v>
      </c>
      <c r="L141" s="200"/>
      <c r="M141" s="207">
        <f>ROUND(VLOOKUP($G141,factors,+M$318)*$I141,0)</f>
        <v>71920</v>
      </c>
      <c r="N141" s="207"/>
      <c r="O141" s="207">
        <f>ROUND(VLOOKUP($G141,factors,+O$318)*$I141,0)</f>
        <v>31204</v>
      </c>
      <c r="P141" s="207"/>
      <c r="Q141" s="207">
        <f>ROUND(VLOOKUP($G141,factors,+Q$318)*$I141,0)</f>
        <v>23114</v>
      </c>
      <c r="R141" s="207"/>
      <c r="S141" s="214">
        <f>ROUND(VLOOKUP($G141,factors,+S$318)*$I141,0)</f>
        <v>73165</v>
      </c>
      <c r="T141" s="214"/>
      <c r="U141" s="214">
        <f>ROUND(VLOOKUP($G141,factors,+U$318)*$I141,0)</f>
        <v>2934</v>
      </c>
      <c r="V141" s="200"/>
      <c r="W141" s="207">
        <f>ROUND(VLOOKUP($G141,factors,+W$318)*$I141,0)</f>
        <v>407251</v>
      </c>
      <c r="X141" s="207"/>
      <c r="Y141" s="207">
        <f>ROUND(VLOOKUP($G141,factors,+Y$318)*$I141,0)</f>
        <v>55829</v>
      </c>
      <c r="Z141" s="206"/>
      <c r="AA141" s="214">
        <f>ROUND(VLOOKUP($G141,factors,+AA$318)*$I141,0)</f>
        <v>15735</v>
      </c>
      <c r="AB141" s="214"/>
      <c r="AC141" s="214">
        <f>ROUND(VLOOKUP($G141,factors,+AC$318)*$I141,0)</f>
        <v>11735</v>
      </c>
      <c r="AD141" s="200"/>
      <c r="AE141" s="214">
        <f>ROUND(VLOOKUP($G141,factors,+AE$318)*$I141,0)</f>
        <v>2756</v>
      </c>
      <c r="AF141" s="200"/>
      <c r="AG141" s="214">
        <f>ROUND(VLOOKUP($G141,factors,+AG$318)*$I141,0)</f>
        <v>3289</v>
      </c>
      <c r="AH141" s="200"/>
      <c r="AI141" s="208">
        <f t="shared" si="89"/>
        <v>0</v>
      </c>
      <c r="AJ141" s="200"/>
      <c r="AK141" s="200"/>
    </row>
    <row r="142" spans="1:37" s="54" customFormat="1">
      <c r="A142" s="200"/>
      <c r="B142" s="200"/>
      <c r="C142" s="210">
        <v>935</v>
      </c>
      <c r="D142" s="200"/>
      <c r="E142" s="276" t="s">
        <v>278</v>
      </c>
      <c r="F142" s="276"/>
      <c r="G142" s="325">
        <v>12</v>
      </c>
      <c r="H142" s="276"/>
      <c r="I142" s="479">
        <f>+Linkin!H118</f>
        <v>5000</v>
      </c>
      <c r="J142" s="200"/>
      <c r="K142" s="211">
        <f>ROUND(VLOOKUP($G142,factors,+K$318)*$I142,0)</f>
        <v>1069</v>
      </c>
      <c r="L142" s="200"/>
      <c r="M142" s="211">
        <f>ROUND(VLOOKUP($G142,factors,+M$318)*$I142,0)</f>
        <v>405</v>
      </c>
      <c r="N142" s="200"/>
      <c r="O142" s="211">
        <f>ROUND(VLOOKUP($G142,factors,+O$318)*$I142,0)</f>
        <v>176</v>
      </c>
      <c r="P142" s="214"/>
      <c r="Q142" s="211">
        <f>ROUND(VLOOKUP($G142,factors,+Q$318)*$I142,0)</f>
        <v>130</v>
      </c>
      <c r="R142" s="200"/>
      <c r="S142" s="211">
        <f>ROUND(VLOOKUP($G142,factors,+S$318)*$I142,0)</f>
        <v>412</v>
      </c>
      <c r="T142" s="214"/>
      <c r="U142" s="211">
        <f>ROUND(VLOOKUP($G142,factors,+U$318)*$I142,0)</f>
        <v>17</v>
      </c>
      <c r="V142" s="200"/>
      <c r="W142" s="211">
        <f>ROUND(VLOOKUP($G142,factors,+W$318)*$I142,0)</f>
        <v>2291</v>
      </c>
      <c r="X142" s="200"/>
      <c r="Y142" s="211">
        <f>ROUND(VLOOKUP($G142,factors,+Y$318)*$I142,0)</f>
        <v>314</v>
      </c>
      <c r="Z142" s="206"/>
      <c r="AA142" s="211">
        <f>ROUND(VLOOKUP($G142,factors,+AA$318)*$I142,0)</f>
        <v>89</v>
      </c>
      <c r="AB142" s="214"/>
      <c r="AC142" s="211">
        <f>ROUND(VLOOKUP($G142,factors,+AC$318)*$I142,0)</f>
        <v>66</v>
      </c>
      <c r="AD142" s="200"/>
      <c r="AE142" s="211">
        <f>ROUND(VLOOKUP($G142,factors,+AE$318)*$I142,0)</f>
        <v>16</v>
      </c>
      <c r="AF142" s="200"/>
      <c r="AG142" s="211">
        <f>ROUND(VLOOKUP($G142,factors,+AG$318)*$I142,0)</f>
        <v>19</v>
      </c>
      <c r="AH142" s="200"/>
      <c r="AI142" s="208"/>
      <c r="AJ142" s="200"/>
      <c r="AK142" s="200"/>
    </row>
    <row r="143" spans="1:37">
      <c r="C143" s="200" t="s">
        <v>218</v>
      </c>
      <c r="E143" s="276" t="s">
        <v>221</v>
      </c>
      <c r="F143" s="276"/>
      <c r="G143" s="325"/>
      <c r="H143" s="276"/>
      <c r="I143" s="479">
        <f>SUM(I141:I142)</f>
        <v>894000</v>
      </c>
      <c r="J143" s="211"/>
      <c r="K143" s="211">
        <f t="shared" ref="K143:AG143" si="92">SUM(K141:K142)</f>
        <v>191137</v>
      </c>
      <c r="L143" s="211"/>
      <c r="M143" s="211">
        <f t="shared" si="92"/>
        <v>72325</v>
      </c>
      <c r="N143" s="211"/>
      <c r="O143" s="211">
        <f t="shared" si="92"/>
        <v>31380</v>
      </c>
      <c r="P143" s="211"/>
      <c r="Q143" s="211">
        <f t="shared" si="92"/>
        <v>23244</v>
      </c>
      <c r="R143" s="211"/>
      <c r="S143" s="211">
        <f t="shared" si="92"/>
        <v>73577</v>
      </c>
      <c r="T143" s="211"/>
      <c r="U143" s="211">
        <f t="shared" si="92"/>
        <v>2951</v>
      </c>
      <c r="V143" s="211"/>
      <c r="W143" s="211">
        <f t="shared" si="92"/>
        <v>409542</v>
      </c>
      <c r="X143" s="211"/>
      <c r="Y143" s="211">
        <f t="shared" si="92"/>
        <v>56143</v>
      </c>
      <c r="Z143" s="211"/>
      <c r="AA143" s="211">
        <f t="shared" si="92"/>
        <v>15824</v>
      </c>
      <c r="AB143" s="211"/>
      <c r="AC143" s="211">
        <f t="shared" si="92"/>
        <v>11801</v>
      </c>
      <c r="AD143" s="211"/>
      <c r="AE143" s="211">
        <f t="shared" si="92"/>
        <v>2772</v>
      </c>
      <c r="AF143" s="211"/>
      <c r="AG143" s="211">
        <f t="shared" si="92"/>
        <v>3308</v>
      </c>
      <c r="AI143" s="208">
        <f t="shared" ref="AI143:AI181" si="93">SUM(K143:AG143)-I143</f>
        <v>4</v>
      </c>
    </row>
    <row r="144" spans="1:37">
      <c r="E144" s="276"/>
      <c r="F144" s="276"/>
      <c r="G144" s="325"/>
      <c r="H144" s="276"/>
      <c r="I144" s="361"/>
      <c r="K144" s="206"/>
      <c r="M144" s="206"/>
      <c r="O144" s="206"/>
      <c r="P144" s="206"/>
      <c r="Q144" s="206"/>
      <c r="S144" s="206"/>
      <c r="T144" s="206"/>
      <c r="U144" s="206"/>
      <c r="W144" s="206"/>
      <c r="Y144" s="206"/>
      <c r="Z144" s="206"/>
      <c r="AA144" s="206"/>
      <c r="AB144" s="206"/>
      <c r="AC144" s="206"/>
      <c r="AE144" s="206"/>
      <c r="AG144" s="206"/>
      <c r="AI144" s="208">
        <f t="shared" si="93"/>
        <v>0</v>
      </c>
    </row>
    <row r="145" spans="1:35" ht="15.75">
      <c r="E145" s="654" t="s">
        <v>262</v>
      </c>
      <c r="F145" s="654"/>
      <c r="G145" s="655"/>
      <c r="H145" s="654"/>
      <c r="I145" s="656">
        <f>+I143+I138</f>
        <v>28370000</v>
      </c>
      <c r="J145" s="34"/>
      <c r="K145" s="46">
        <f>+K143+K138</f>
        <v>5979457</v>
      </c>
      <c r="L145" s="34"/>
      <c r="M145" s="46">
        <f>+M143+M138</f>
        <v>2287527</v>
      </c>
      <c r="N145" s="34"/>
      <c r="O145" s="46">
        <f>+O143+O138</f>
        <v>992698</v>
      </c>
      <c r="P145" s="55"/>
      <c r="Q145" s="46">
        <f>+Q143+Q138</f>
        <v>735281</v>
      </c>
      <c r="R145" s="34"/>
      <c r="S145" s="46">
        <f>+S143+S138</f>
        <v>2330071</v>
      </c>
      <c r="T145" s="55"/>
      <c r="U145" s="46">
        <f>+U143+U138</f>
        <v>93372</v>
      </c>
      <c r="V145" s="34"/>
      <c r="W145" s="46">
        <f>+W143+W138</f>
        <v>12899184</v>
      </c>
      <c r="X145" s="34"/>
      <c r="Y145" s="46">
        <f>+Y143+Y138</f>
        <v>1876197</v>
      </c>
      <c r="Z145" s="206"/>
      <c r="AA145" s="46">
        <f>+AA143+AA138</f>
        <v>529833</v>
      </c>
      <c r="AB145" s="55"/>
      <c r="AC145" s="46">
        <f>+AC143+AC138</f>
        <v>425882</v>
      </c>
      <c r="AD145" s="34"/>
      <c r="AE145" s="46">
        <f t="shared" ref="AE145" si="94">+AE143+AE138</f>
        <v>101055</v>
      </c>
      <c r="AF145" s="34"/>
      <c r="AG145" s="46">
        <f t="shared" ref="AG145" si="95">+AG143+AG138</f>
        <v>119458</v>
      </c>
      <c r="AH145" s="34"/>
      <c r="AI145" s="208">
        <f t="shared" si="93"/>
        <v>15</v>
      </c>
    </row>
    <row r="146" spans="1:35">
      <c r="E146" s="276"/>
      <c r="F146" s="276"/>
      <c r="G146" s="325"/>
      <c r="H146" s="276"/>
      <c r="I146" s="361"/>
      <c r="K146" s="206"/>
      <c r="M146" s="206"/>
      <c r="O146" s="206"/>
      <c r="P146" s="206"/>
      <c r="Q146" s="206"/>
      <c r="S146" s="206"/>
      <c r="T146" s="206"/>
      <c r="U146" s="206"/>
      <c r="W146" s="206"/>
      <c r="Y146" s="206"/>
      <c r="Z146" s="206"/>
      <c r="AA146" s="206"/>
      <c r="AB146" s="206"/>
      <c r="AC146" s="206"/>
      <c r="AE146" s="206"/>
      <c r="AG146" s="206"/>
      <c r="AI146" s="208">
        <f t="shared" si="93"/>
        <v>0</v>
      </c>
    </row>
    <row r="147" spans="1:35" ht="15.75">
      <c r="B147" s="216">
        <v>72928.717056483641</v>
      </c>
      <c r="E147" s="654" t="s">
        <v>252</v>
      </c>
      <c r="F147" s="654"/>
      <c r="G147" s="655"/>
      <c r="H147" s="654"/>
      <c r="I147" s="656">
        <f>+I145+I123+I113+I104+I93+I43+I50+I56</f>
        <v>72927000</v>
      </c>
      <c r="J147" s="34"/>
      <c r="K147" s="46">
        <f>+K145+K123+K113+K104+K93+K43+K50+K56</f>
        <v>16349712</v>
      </c>
      <c r="L147" s="34"/>
      <c r="M147" s="46">
        <f>+M145+M123+M113+M104+M93+M43+M50+M56</f>
        <v>6064638</v>
      </c>
      <c r="N147" s="34"/>
      <c r="O147" s="46">
        <f>+O145+O123+O113+O104+O93+O43+O50+O56</f>
        <v>2504054</v>
      </c>
      <c r="P147" s="34"/>
      <c r="Q147" s="46">
        <f>+Q145+Q123+Q113+Q104+Q93+Q43+Q50+Q56</f>
        <v>1857500</v>
      </c>
      <c r="R147" s="34"/>
      <c r="S147" s="46">
        <f>+S145+S123+S113+S104+S93+S43+S50+S56</f>
        <v>5878405</v>
      </c>
      <c r="T147" s="55"/>
      <c r="U147" s="46">
        <f>+U145+U123+U113+U104+U93+U43+U50+U56</f>
        <v>234508</v>
      </c>
      <c r="V147" s="34"/>
      <c r="W147" s="46">
        <f>+W145+W123+W113+W104+W93+W43+W50+W56</f>
        <v>32655229</v>
      </c>
      <c r="X147" s="34"/>
      <c r="Y147" s="46">
        <f>+Y145+Y123+Y113+Y104+Y93+Y43+Y50+Y56</f>
        <v>4584684</v>
      </c>
      <c r="Z147" s="34"/>
      <c r="AA147" s="46">
        <f>+AA145+AA123+AA113+AA104+AA93+AA43+AA50+AA56</f>
        <v>1292033</v>
      </c>
      <c r="AB147" s="34"/>
      <c r="AC147" s="46">
        <f>+AC145+AC123+AC113+AC104+AC93+AC43+AC50+AC56</f>
        <v>994649</v>
      </c>
      <c r="AD147" s="34"/>
      <c r="AE147" s="46">
        <f>+AE145+AE123+AE113+AE104+AE93+AE43+AE50+AE56</f>
        <v>234176</v>
      </c>
      <c r="AF147" s="34"/>
      <c r="AG147" s="46">
        <f>+AG145+AG123+AG113+AG104+AG93+AG43+AG50+AG56</f>
        <v>277428</v>
      </c>
      <c r="AH147" s="34"/>
      <c r="AI147" s="208">
        <f t="shared" si="93"/>
        <v>16</v>
      </c>
    </row>
    <row r="148" spans="1:35" ht="16.149999999999999" customHeight="1">
      <c r="B148" s="207">
        <f>+B147*1000-I147</f>
        <v>1717.0564836412668</v>
      </c>
      <c r="E148" s="276"/>
      <c r="F148" s="276"/>
      <c r="G148" s="325"/>
      <c r="H148" s="276"/>
      <c r="I148" s="361"/>
      <c r="S148" s="206"/>
      <c r="T148" s="206"/>
      <c r="U148" s="206"/>
      <c r="AA148" s="206"/>
      <c r="AB148" s="206"/>
      <c r="AC148" s="206"/>
      <c r="AE148" s="206"/>
      <c r="AG148" s="206"/>
      <c r="AI148" s="208">
        <f t="shared" si="93"/>
        <v>0</v>
      </c>
    </row>
    <row r="149" spans="1:35" ht="33" customHeight="1">
      <c r="C149" s="34" t="s">
        <v>442</v>
      </c>
      <c r="E149" s="276"/>
      <c r="F149" s="276"/>
      <c r="G149" s="325"/>
      <c r="H149" s="276"/>
      <c r="I149" s="361"/>
      <c r="AI149" s="208">
        <f t="shared" si="93"/>
        <v>0</v>
      </c>
    </row>
    <row r="150" spans="1:35" ht="6.6" customHeight="1">
      <c r="E150" s="661"/>
      <c r="F150" s="276"/>
      <c r="G150" s="325"/>
      <c r="H150" s="276"/>
      <c r="I150" s="361"/>
      <c r="AI150" s="208">
        <f t="shared" si="93"/>
        <v>0</v>
      </c>
    </row>
    <row r="151" spans="1:35" ht="15.75" customHeight="1">
      <c r="C151" s="34" t="s">
        <v>240</v>
      </c>
      <c r="E151" s="276"/>
      <c r="F151" s="276"/>
      <c r="G151" s="325"/>
      <c r="H151" s="276"/>
      <c r="I151" s="361"/>
      <c r="S151" s="206"/>
      <c r="T151" s="206"/>
      <c r="U151" s="206"/>
      <c r="Z151" s="206"/>
      <c r="AA151" s="206"/>
      <c r="AB151" s="206"/>
      <c r="AC151" s="206"/>
      <c r="AE151" s="206"/>
      <c r="AG151" s="206"/>
      <c r="AI151" s="208">
        <f t="shared" si="93"/>
        <v>0</v>
      </c>
    </row>
    <row r="152" spans="1:35" ht="15.75" customHeight="1">
      <c r="C152" s="228">
        <v>305</v>
      </c>
      <c r="E152" s="324" t="s">
        <v>543</v>
      </c>
      <c r="F152" s="276"/>
      <c r="G152" s="325">
        <v>1</v>
      </c>
      <c r="H152" s="276"/>
      <c r="I152" s="361">
        <f>+Linkin!H137</f>
        <v>0</v>
      </c>
      <c r="K152" s="207">
        <f>ROUND(VLOOKUP($G152,factors,+K$318)*$I152,0)</f>
        <v>0</v>
      </c>
      <c r="M152" s="207">
        <f>ROUND(VLOOKUP($G152,factors,+M$318)*$I152,0)</f>
        <v>0</v>
      </c>
      <c r="N152" s="207"/>
      <c r="O152" s="207">
        <f>ROUND(VLOOKUP($G152,factors,+O$318)*$I152,0)</f>
        <v>0</v>
      </c>
      <c r="P152" s="207"/>
      <c r="Q152" s="207">
        <f>ROUND(VLOOKUP($G152,factors,+Q$318)*$I152,0)</f>
        <v>0</v>
      </c>
      <c r="R152" s="207"/>
      <c r="S152" s="206">
        <f>ROUND(VLOOKUP($G152,factors,+S$318)*$I152,0)</f>
        <v>0</v>
      </c>
      <c r="T152" s="206"/>
      <c r="U152" s="206">
        <f>ROUND(VLOOKUP($G152,factors,+U$318)*$I152,0)</f>
        <v>0</v>
      </c>
      <c r="V152" s="206"/>
      <c r="W152" s="206">
        <f>ROUND(VLOOKUP($G152,factors,+W$318)*$I152,0)</f>
        <v>0</v>
      </c>
      <c r="X152" s="206"/>
      <c r="Y152" s="206">
        <f>ROUND(VLOOKUP($G152,factors,+Y$318)*$I152,0)</f>
        <v>0</v>
      </c>
      <c r="Z152" s="206"/>
      <c r="AA152" s="206">
        <f>ROUND(VLOOKUP($G152,factors,+AA$318)*$I152,0)</f>
        <v>0</v>
      </c>
      <c r="AB152" s="206"/>
      <c r="AC152" s="207">
        <f>ROUND(VLOOKUP($G152,factors,+AC$318)*$I152,0)</f>
        <v>0</v>
      </c>
      <c r="AD152" s="206"/>
      <c r="AE152" s="207">
        <f>ROUND(VLOOKUP($G152,factors,+AE$318)*$I152,0)</f>
        <v>0</v>
      </c>
      <c r="AF152" s="206"/>
      <c r="AG152" s="207">
        <f>ROUND(VLOOKUP($G152,factors,+AG$318)*$I152,0)</f>
        <v>0</v>
      </c>
      <c r="AI152" s="208">
        <f t="shared" si="93"/>
        <v>0</v>
      </c>
    </row>
    <row r="153" spans="1:35">
      <c r="C153" s="210">
        <v>375</v>
      </c>
      <c r="E153" s="276" t="s">
        <v>292</v>
      </c>
      <c r="F153" s="276"/>
      <c r="G153" s="478">
        <v>18</v>
      </c>
      <c r="H153" s="276"/>
      <c r="I153" s="361">
        <f>+Linkin!H138</f>
        <v>55165</v>
      </c>
      <c r="K153" s="207">
        <f>ROUND(VLOOKUP($G153,factors,+K$318)*$I153,0)</f>
        <v>27152</v>
      </c>
      <c r="M153" s="207">
        <f>ROUND(VLOOKUP($G153,factors,+M$318)*$I153,0)</f>
        <v>11298</v>
      </c>
      <c r="N153" s="207"/>
      <c r="O153" s="207">
        <f>ROUND(VLOOKUP($G153,factors,+O$318)*$I153,0)</f>
        <v>4954</v>
      </c>
      <c r="P153" s="207"/>
      <c r="Q153" s="207">
        <f>ROUND(VLOOKUP($G153,factors,+Q$318)*$I153,0)</f>
        <v>3680</v>
      </c>
      <c r="R153" s="207"/>
      <c r="S153" s="206">
        <f>ROUND(VLOOKUP($G153,factors,+S$318)*$I153,0)</f>
        <v>7618</v>
      </c>
      <c r="T153" s="206"/>
      <c r="U153" s="206">
        <f>ROUND(VLOOKUP($G153,factors,+U$318)*$I153,0)</f>
        <v>463</v>
      </c>
      <c r="V153" s="206"/>
      <c r="W153" s="206">
        <f>ROUND(VLOOKUP($G153,factors,+W$318)*$I153,0)</f>
        <v>0</v>
      </c>
      <c r="X153" s="206"/>
      <c r="Y153" s="206">
        <f>ROUND(VLOOKUP($G153,factors,+Y$318)*$I153,0)</f>
        <v>0</v>
      </c>
      <c r="Z153" s="206"/>
      <c r="AA153" s="206">
        <f>ROUND(VLOOKUP($G153,factors,+AA$318)*$I153,0)</f>
        <v>0</v>
      </c>
      <c r="AB153" s="206"/>
      <c r="AC153" s="207">
        <f>ROUND(VLOOKUP($G153,factors,+AC$318)*$I153,0)</f>
        <v>0</v>
      </c>
      <c r="AD153" s="206"/>
      <c r="AE153" s="207">
        <f>ROUND(VLOOKUP($G153,factors,+AE$318)*$I153,0)</f>
        <v>0</v>
      </c>
      <c r="AF153" s="206"/>
      <c r="AG153" s="207">
        <f>ROUND(VLOOKUP($G153,factors,+AG$318)*$I153,0)</f>
        <v>0</v>
      </c>
      <c r="AI153" s="208">
        <f t="shared" si="93"/>
        <v>0</v>
      </c>
    </row>
    <row r="154" spans="1:35">
      <c r="A154" s="216">
        <v>1949689.9893760215</v>
      </c>
      <c r="B154" s="206">
        <f>SUM(I154:I156)</f>
        <v>8928509</v>
      </c>
      <c r="C154" s="210">
        <v>376</v>
      </c>
      <c r="E154" s="276" t="s">
        <v>398</v>
      </c>
      <c r="F154" s="276"/>
      <c r="G154" s="478">
        <v>5</v>
      </c>
      <c r="H154" s="276"/>
      <c r="I154" s="361">
        <f>+A154-A156</f>
        <v>1948657.0812963152</v>
      </c>
      <c r="J154" s="95"/>
      <c r="K154" s="207">
        <f>ROUND(VLOOKUP($G154,factors,+K$318)*$I154,0)</f>
        <v>1112878</v>
      </c>
      <c r="M154" s="207">
        <f>ROUND(VLOOKUP($G154,factors,+M$318)*$I154,0)</f>
        <v>463001</v>
      </c>
      <c r="N154" s="207"/>
      <c r="O154" s="207">
        <f>ROUND(VLOOKUP($G154,factors,+O$318)*$I154,0)</f>
        <v>203050</v>
      </c>
      <c r="P154" s="207"/>
      <c r="Q154" s="207">
        <f>ROUND(VLOOKUP($G154,factors,+Q$318)*$I154,0)</f>
        <v>150826</v>
      </c>
      <c r="R154" s="207"/>
      <c r="S154" s="206">
        <f>ROUND(VLOOKUP($G154,factors,+S$318)*$I154,0)</f>
        <v>0</v>
      </c>
      <c r="T154" s="206"/>
      <c r="U154" s="206">
        <f>ROUND(VLOOKUP($G154,factors,+U$318)*$I154,0)</f>
        <v>18902</v>
      </c>
      <c r="V154" s="206"/>
      <c r="W154" s="206">
        <f>ROUND(VLOOKUP($G154,factors,+W$318)*$I154,0)</f>
        <v>0</v>
      </c>
      <c r="X154" s="206"/>
      <c r="Y154" s="206">
        <f>ROUND(VLOOKUP($G154,factors,+Y$318)*$I154,0)</f>
        <v>0</v>
      </c>
      <c r="Z154" s="206"/>
      <c r="AA154" s="206">
        <f>ROUND(VLOOKUP($G154,factors,+AA$318)*$I154,0)</f>
        <v>0</v>
      </c>
      <c r="AB154" s="206"/>
      <c r="AC154" s="207">
        <f>ROUND(VLOOKUP($G154,factors,+AC$318)*$I154,0)</f>
        <v>0</v>
      </c>
      <c r="AD154" s="206"/>
      <c r="AE154" s="207">
        <f>ROUND(VLOOKUP($G154,factors,+AE$318)*$I154,0)</f>
        <v>0</v>
      </c>
      <c r="AF154" s="206"/>
      <c r="AG154" s="207">
        <f>ROUND(VLOOKUP($G154,factors,+AG$318)*$I154,0)</f>
        <v>0</v>
      </c>
      <c r="AI154" s="208">
        <f t="shared" si="93"/>
        <v>-8.1296315183863044E-2</v>
      </c>
    </row>
    <row r="155" spans="1:35">
      <c r="A155" s="216">
        <v>6978819.0106239785</v>
      </c>
      <c r="B155" s="216"/>
      <c r="C155" s="210"/>
      <c r="E155" s="276" t="s">
        <v>399</v>
      </c>
      <c r="F155" s="276"/>
      <c r="G155" s="478">
        <v>4</v>
      </c>
      <c r="H155" s="276"/>
      <c r="I155" s="361">
        <f>+A155-A157</f>
        <v>5680782.5300323851</v>
      </c>
      <c r="J155" s="95"/>
      <c r="K155" s="207">
        <f>ROUND(VLOOKUP($G155,factors,+K$318)*$I155,0)</f>
        <v>3244295</v>
      </c>
      <c r="M155" s="207">
        <f>ROUND(VLOOKUP($G155,factors,+M$318)*$I155,0)</f>
        <v>1349754</v>
      </c>
      <c r="N155" s="207"/>
      <c r="O155" s="207">
        <f>ROUND(VLOOKUP($G155,factors,+O$318)*$I155,0)</f>
        <v>591938</v>
      </c>
      <c r="P155" s="207"/>
      <c r="Q155" s="207">
        <f>ROUND(VLOOKUP($G155,factors,+Q$318)*$I155,0)</f>
        <v>439693</v>
      </c>
      <c r="R155" s="207"/>
      <c r="S155" s="206">
        <f>ROUND(VLOOKUP($G155,factors,+S$318)*$I155,0)</f>
        <v>0</v>
      </c>
      <c r="T155" s="206"/>
      <c r="U155" s="206">
        <f>ROUND(VLOOKUP($G155,factors,+U$318)*$I155,0)</f>
        <v>55104</v>
      </c>
      <c r="V155" s="206"/>
      <c r="W155" s="206"/>
      <c r="X155" s="206"/>
      <c r="Y155" s="206"/>
      <c r="Z155" s="206"/>
      <c r="AA155" s="206"/>
      <c r="AB155" s="206"/>
      <c r="AC155" s="207"/>
      <c r="AD155" s="206"/>
      <c r="AE155" s="207"/>
      <c r="AF155" s="206"/>
      <c r="AG155" s="207"/>
      <c r="AI155" s="208">
        <f t="shared" si="93"/>
        <v>1.4699676148593426</v>
      </c>
    </row>
    <row r="156" spans="1:35">
      <c r="A156" s="216">
        <v>1032.9080797064707</v>
      </c>
      <c r="B156" s="721" t="s">
        <v>681</v>
      </c>
      <c r="C156" s="210"/>
      <c r="E156" s="324" t="s">
        <v>473</v>
      </c>
      <c r="F156" s="276"/>
      <c r="G156" s="478" t="s">
        <v>391</v>
      </c>
      <c r="H156" s="276"/>
      <c r="I156" s="361">
        <f>+A156+A157</f>
        <v>1299069.3886712999</v>
      </c>
      <c r="J156" s="95"/>
      <c r="K156" s="207"/>
      <c r="M156" s="207"/>
      <c r="N156" s="207"/>
      <c r="O156" s="207"/>
      <c r="P156" s="207"/>
      <c r="Q156" s="207"/>
      <c r="R156" s="207"/>
      <c r="S156" s="206">
        <f>+I156-U156</f>
        <v>1299069.3886712999</v>
      </c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7"/>
      <c r="AD156" s="206"/>
      <c r="AE156" s="207"/>
      <c r="AF156" s="206"/>
      <c r="AG156" s="207"/>
      <c r="AI156" s="208">
        <f t="shared" si="93"/>
        <v>0</v>
      </c>
    </row>
    <row r="157" spans="1:35">
      <c r="A157" s="216">
        <v>1298036.4805915935</v>
      </c>
      <c r="B157" s="722" t="s">
        <v>682</v>
      </c>
      <c r="C157" s="210">
        <v>378</v>
      </c>
      <c r="E157" s="276" t="s">
        <v>159</v>
      </c>
      <c r="F157" s="276"/>
      <c r="G157" s="478">
        <v>18</v>
      </c>
      <c r="H157" s="276"/>
      <c r="I157" s="361">
        <f>+Linkin!H141</f>
        <v>744919</v>
      </c>
      <c r="K157" s="207">
        <f t="shared" ref="K157:K168" si="96">ROUND(VLOOKUP($G157,factors,+K$318)*$I157,0)</f>
        <v>366649</v>
      </c>
      <c r="M157" s="207">
        <f t="shared" ref="M157:M168" si="97">ROUND(VLOOKUP($G157,factors,+M$318)*$I157,0)</f>
        <v>152559</v>
      </c>
      <c r="N157" s="207"/>
      <c r="O157" s="207">
        <f t="shared" ref="O157:O168" si="98">ROUND(VLOOKUP($G157,factors,+O$318)*$I157,0)</f>
        <v>66894</v>
      </c>
      <c r="P157" s="207"/>
      <c r="Q157" s="207">
        <f t="shared" ref="Q157:Q168" si="99">ROUND(VLOOKUP($G157,factors,+Q$318)*$I157,0)</f>
        <v>49686</v>
      </c>
      <c r="R157" s="207"/>
      <c r="S157" s="206">
        <f t="shared" ref="S157:S168" si="100">ROUND(VLOOKUP($G157,factors,+S$318)*$I157,0)</f>
        <v>102873</v>
      </c>
      <c r="T157" s="206"/>
      <c r="U157" s="206">
        <f t="shared" ref="U157:U168" si="101">ROUND(VLOOKUP($G157,factors,+U$318)*$I157,0)</f>
        <v>6257</v>
      </c>
      <c r="V157" s="206"/>
      <c r="W157" s="206">
        <f t="shared" ref="W157:W168" si="102">ROUND(VLOOKUP($G157,factors,+W$318)*$I157,0)</f>
        <v>0</v>
      </c>
      <c r="X157" s="206"/>
      <c r="Y157" s="206">
        <f t="shared" ref="Y157:Y168" si="103">ROUND(VLOOKUP($G157,factors,+Y$318)*$I157,0)</f>
        <v>0</v>
      </c>
      <c r="Z157" s="206"/>
      <c r="AA157" s="206">
        <f t="shared" ref="AA157:AA168" si="104">ROUND(VLOOKUP($G157,factors,+AA$318)*$I157,0)</f>
        <v>0</v>
      </c>
      <c r="AB157" s="206"/>
      <c r="AC157" s="207">
        <f t="shared" ref="AC157:AC168" si="105">ROUND(VLOOKUP($G157,factors,+AC$318)*$I157,0)</f>
        <v>0</v>
      </c>
      <c r="AD157" s="206"/>
      <c r="AE157" s="207">
        <f t="shared" ref="AE157:AE168" si="106">ROUND(VLOOKUP($G157,factors,+AE$318)*$I157,0)</f>
        <v>0</v>
      </c>
      <c r="AF157" s="206"/>
      <c r="AG157" s="207">
        <f t="shared" ref="AG157:AG168" si="107">ROUND(VLOOKUP($G157,factors,+AG$318)*$I157,0)</f>
        <v>0</v>
      </c>
      <c r="AI157" s="208">
        <f t="shared" si="93"/>
        <v>-1</v>
      </c>
    </row>
    <row r="158" spans="1:35">
      <c r="C158" s="210">
        <v>379</v>
      </c>
      <c r="E158" s="276" t="s">
        <v>160</v>
      </c>
      <c r="F158" s="276"/>
      <c r="G158" s="478">
        <v>18</v>
      </c>
      <c r="H158" s="276"/>
      <c r="I158" s="361">
        <f>+Linkin!H142</f>
        <v>573426</v>
      </c>
      <c r="K158" s="207">
        <f t="shared" si="96"/>
        <v>282240</v>
      </c>
      <c r="M158" s="207">
        <f t="shared" si="97"/>
        <v>117438</v>
      </c>
      <c r="N158" s="207"/>
      <c r="O158" s="207">
        <f t="shared" si="98"/>
        <v>51494</v>
      </c>
      <c r="P158" s="207"/>
      <c r="Q158" s="207">
        <f t="shared" si="99"/>
        <v>38248</v>
      </c>
      <c r="R158" s="207"/>
      <c r="S158" s="206">
        <f t="shared" si="100"/>
        <v>79190</v>
      </c>
      <c r="T158" s="206"/>
      <c r="U158" s="206">
        <f t="shared" si="101"/>
        <v>4817</v>
      </c>
      <c r="V158" s="206"/>
      <c r="W158" s="206">
        <f t="shared" si="102"/>
        <v>0</v>
      </c>
      <c r="X158" s="206"/>
      <c r="Y158" s="206">
        <f t="shared" si="103"/>
        <v>0</v>
      </c>
      <c r="Z158" s="206"/>
      <c r="AA158" s="206">
        <f t="shared" si="104"/>
        <v>0</v>
      </c>
      <c r="AB158" s="206"/>
      <c r="AC158" s="207">
        <f t="shared" si="105"/>
        <v>0</v>
      </c>
      <c r="AD158" s="206"/>
      <c r="AE158" s="207">
        <f t="shared" si="106"/>
        <v>0</v>
      </c>
      <c r="AF158" s="206"/>
      <c r="AG158" s="207">
        <f t="shared" si="107"/>
        <v>0</v>
      </c>
      <c r="AI158" s="208">
        <f t="shared" si="93"/>
        <v>1</v>
      </c>
    </row>
    <row r="159" spans="1:35">
      <c r="C159" s="210">
        <v>380</v>
      </c>
      <c r="E159" s="276" t="s">
        <v>293</v>
      </c>
      <c r="F159" s="276"/>
      <c r="G159" s="325" t="s">
        <v>403</v>
      </c>
      <c r="H159" s="276"/>
      <c r="I159" s="361">
        <f>+Linkin!H143+Linkin!H144</f>
        <v>7196184</v>
      </c>
      <c r="K159" s="207">
        <f t="shared" si="96"/>
        <v>0</v>
      </c>
      <c r="M159" s="207">
        <f t="shared" si="97"/>
        <v>0</v>
      </c>
      <c r="N159" s="207"/>
      <c r="O159" s="207">
        <f t="shared" si="98"/>
        <v>0</v>
      </c>
      <c r="P159" s="207"/>
      <c r="Q159" s="207">
        <f t="shared" si="99"/>
        <v>0</v>
      </c>
      <c r="R159" s="207"/>
      <c r="S159" s="206">
        <f t="shared" si="100"/>
        <v>0</v>
      </c>
      <c r="T159" s="206"/>
      <c r="U159" s="206">
        <f t="shared" si="101"/>
        <v>0</v>
      </c>
      <c r="V159" s="206"/>
      <c r="W159" s="206">
        <f t="shared" si="102"/>
        <v>6222540</v>
      </c>
      <c r="X159" s="206"/>
      <c r="Y159" s="206">
        <f t="shared" si="103"/>
        <v>888009</v>
      </c>
      <c r="Z159" s="206"/>
      <c r="AA159" s="206">
        <f t="shared" si="104"/>
        <v>51093</v>
      </c>
      <c r="AB159" s="206"/>
      <c r="AC159" s="207">
        <f t="shared" si="105"/>
        <v>23747</v>
      </c>
      <c r="AD159" s="206"/>
      <c r="AE159" s="207">
        <f t="shared" si="106"/>
        <v>5037</v>
      </c>
      <c r="AF159" s="206"/>
      <c r="AG159" s="207">
        <f t="shared" si="107"/>
        <v>5757</v>
      </c>
      <c r="AI159" s="208">
        <f t="shared" si="93"/>
        <v>-1</v>
      </c>
    </row>
    <row r="160" spans="1:35">
      <c r="C160" s="210">
        <v>381</v>
      </c>
      <c r="E160" s="276" t="s">
        <v>294</v>
      </c>
      <c r="F160" s="276"/>
      <c r="G160" s="325">
        <v>6</v>
      </c>
      <c r="H160" s="276"/>
      <c r="I160" s="361">
        <f>+Linkin!H145</f>
        <v>1284252</v>
      </c>
      <c r="K160" s="207">
        <f t="shared" si="96"/>
        <v>0</v>
      </c>
      <c r="M160" s="207">
        <f t="shared" si="97"/>
        <v>0</v>
      </c>
      <c r="N160" s="207"/>
      <c r="O160" s="207">
        <f t="shared" si="98"/>
        <v>0</v>
      </c>
      <c r="P160" s="207"/>
      <c r="Q160" s="207">
        <f t="shared" si="99"/>
        <v>0</v>
      </c>
      <c r="R160" s="207"/>
      <c r="S160" s="206">
        <f t="shared" si="100"/>
        <v>0</v>
      </c>
      <c r="T160" s="206"/>
      <c r="U160" s="206">
        <f t="shared" si="101"/>
        <v>0</v>
      </c>
      <c r="V160" s="206"/>
      <c r="W160" s="206">
        <f t="shared" si="102"/>
        <v>540156</v>
      </c>
      <c r="X160" s="206"/>
      <c r="Y160" s="206">
        <f t="shared" si="103"/>
        <v>420079</v>
      </c>
      <c r="Z160" s="206"/>
      <c r="AA160" s="206">
        <f t="shared" si="104"/>
        <v>213956</v>
      </c>
      <c r="AB160" s="206"/>
      <c r="AC160" s="207">
        <f t="shared" si="105"/>
        <v>85916</v>
      </c>
      <c r="AD160" s="206"/>
      <c r="AE160" s="207">
        <f t="shared" si="106"/>
        <v>3596</v>
      </c>
      <c r="AF160" s="206"/>
      <c r="AG160" s="207">
        <f t="shared" si="107"/>
        <v>20548</v>
      </c>
      <c r="AI160" s="208">
        <f t="shared" si="93"/>
        <v>-1</v>
      </c>
    </row>
    <row r="161" spans="1:35">
      <c r="C161" s="210">
        <v>381.2</v>
      </c>
      <c r="E161" s="324" t="s">
        <v>526</v>
      </c>
      <c r="F161" s="276"/>
      <c r="G161" s="325">
        <v>6</v>
      </c>
      <c r="H161" s="276"/>
      <c r="I161" s="361">
        <f>+Linkin!H146</f>
        <v>282998</v>
      </c>
      <c r="K161" s="207">
        <f t="shared" si="96"/>
        <v>0</v>
      </c>
      <c r="M161" s="207">
        <f t="shared" si="97"/>
        <v>0</v>
      </c>
      <c r="N161" s="207"/>
      <c r="O161" s="207">
        <f t="shared" si="98"/>
        <v>0</v>
      </c>
      <c r="P161" s="207"/>
      <c r="Q161" s="207">
        <f t="shared" si="99"/>
        <v>0</v>
      </c>
      <c r="R161" s="207"/>
      <c r="S161" s="206">
        <f t="shared" si="100"/>
        <v>0</v>
      </c>
      <c r="T161" s="206"/>
      <c r="U161" s="206">
        <f t="shared" si="101"/>
        <v>0</v>
      </c>
      <c r="V161" s="206"/>
      <c r="W161" s="206">
        <f t="shared" si="102"/>
        <v>119029</v>
      </c>
      <c r="X161" s="206"/>
      <c r="Y161" s="206">
        <f t="shared" si="103"/>
        <v>92569</v>
      </c>
      <c r="Z161" s="206"/>
      <c r="AA161" s="206">
        <f t="shared" si="104"/>
        <v>47147</v>
      </c>
      <c r="AB161" s="206"/>
      <c r="AC161" s="207">
        <f t="shared" si="105"/>
        <v>18933</v>
      </c>
      <c r="AD161" s="206"/>
      <c r="AE161" s="207">
        <f t="shared" si="106"/>
        <v>792</v>
      </c>
      <c r="AF161" s="206"/>
      <c r="AG161" s="207">
        <f t="shared" si="107"/>
        <v>4528</v>
      </c>
      <c r="AI161" s="208">
        <f t="shared" si="93"/>
        <v>0</v>
      </c>
    </row>
    <row r="162" spans="1:35">
      <c r="C162" s="210">
        <v>382</v>
      </c>
      <c r="E162" s="276" t="s">
        <v>295</v>
      </c>
      <c r="F162" s="276"/>
      <c r="G162" s="325">
        <v>6</v>
      </c>
      <c r="H162" s="276"/>
      <c r="I162" s="361">
        <v>0</v>
      </c>
      <c r="K162" s="207">
        <f t="shared" si="96"/>
        <v>0</v>
      </c>
      <c r="M162" s="207">
        <f t="shared" si="97"/>
        <v>0</v>
      </c>
      <c r="N162" s="207"/>
      <c r="O162" s="207">
        <f t="shared" si="98"/>
        <v>0</v>
      </c>
      <c r="P162" s="207"/>
      <c r="Q162" s="207">
        <f t="shared" si="99"/>
        <v>0</v>
      </c>
      <c r="R162" s="207"/>
      <c r="S162" s="206">
        <f t="shared" si="100"/>
        <v>0</v>
      </c>
      <c r="T162" s="206"/>
      <c r="U162" s="206">
        <f t="shared" si="101"/>
        <v>0</v>
      </c>
      <c r="V162" s="206"/>
      <c r="W162" s="206">
        <f t="shared" si="102"/>
        <v>0</v>
      </c>
      <c r="X162" s="206"/>
      <c r="Y162" s="206">
        <f t="shared" si="103"/>
        <v>0</v>
      </c>
      <c r="Z162" s="206"/>
      <c r="AA162" s="206">
        <f t="shared" si="104"/>
        <v>0</v>
      </c>
      <c r="AB162" s="206"/>
      <c r="AC162" s="207">
        <f t="shared" si="105"/>
        <v>0</v>
      </c>
      <c r="AD162" s="206"/>
      <c r="AE162" s="207">
        <f t="shared" si="106"/>
        <v>0</v>
      </c>
      <c r="AF162" s="206"/>
      <c r="AG162" s="207">
        <f t="shared" si="107"/>
        <v>0</v>
      </c>
      <c r="AI162" s="208">
        <f t="shared" si="93"/>
        <v>0</v>
      </c>
    </row>
    <row r="163" spans="1:35">
      <c r="C163" s="210">
        <v>383</v>
      </c>
      <c r="E163" s="276" t="s">
        <v>162</v>
      </c>
      <c r="F163" s="276"/>
      <c r="G163" s="478" t="s">
        <v>305</v>
      </c>
      <c r="H163" s="276"/>
      <c r="I163" s="361">
        <f>+Linkin!H147</f>
        <v>38337</v>
      </c>
      <c r="K163" s="207">
        <f t="shared" si="96"/>
        <v>0</v>
      </c>
      <c r="M163" s="207">
        <f t="shared" si="97"/>
        <v>0</v>
      </c>
      <c r="N163" s="207"/>
      <c r="O163" s="207">
        <f t="shared" si="98"/>
        <v>0</v>
      </c>
      <c r="P163" s="207"/>
      <c r="Q163" s="207">
        <f t="shared" si="99"/>
        <v>0</v>
      </c>
      <c r="R163" s="207"/>
      <c r="S163" s="206">
        <f t="shared" si="100"/>
        <v>0</v>
      </c>
      <c r="T163" s="206"/>
      <c r="U163" s="206">
        <f t="shared" si="101"/>
        <v>0</v>
      </c>
      <c r="V163" s="206"/>
      <c r="W163" s="206">
        <f t="shared" si="102"/>
        <v>33541</v>
      </c>
      <c r="X163" s="206"/>
      <c r="Y163" s="206">
        <f t="shared" si="103"/>
        <v>4796</v>
      </c>
      <c r="Z163" s="206"/>
      <c r="AA163" s="206">
        <f t="shared" si="104"/>
        <v>0</v>
      </c>
      <c r="AB163" s="206"/>
      <c r="AC163" s="207">
        <f t="shared" si="105"/>
        <v>0</v>
      </c>
      <c r="AD163" s="206"/>
      <c r="AE163" s="207">
        <f t="shared" si="106"/>
        <v>0</v>
      </c>
      <c r="AF163" s="206"/>
      <c r="AG163" s="207">
        <f t="shared" si="107"/>
        <v>0</v>
      </c>
      <c r="AI163" s="208">
        <f t="shared" si="93"/>
        <v>0</v>
      </c>
    </row>
    <row r="164" spans="1:35">
      <c r="C164" s="210">
        <v>384</v>
      </c>
      <c r="E164" s="276" t="s">
        <v>163</v>
      </c>
      <c r="F164" s="276"/>
      <c r="G164" s="478" t="s">
        <v>305</v>
      </c>
      <c r="H164" s="276"/>
      <c r="I164" s="361">
        <f>+Linkin!H148</f>
        <v>47345</v>
      </c>
      <c r="K164" s="207">
        <f t="shared" si="96"/>
        <v>0</v>
      </c>
      <c r="M164" s="207">
        <f t="shared" si="97"/>
        <v>0</v>
      </c>
      <c r="N164" s="207"/>
      <c r="O164" s="207">
        <f t="shared" si="98"/>
        <v>0</v>
      </c>
      <c r="P164" s="207"/>
      <c r="Q164" s="207">
        <f t="shared" si="99"/>
        <v>0</v>
      </c>
      <c r="R164" s="207"/>
      <c r="S164" s="206">
        <f t="shared" si="100"/>
        <v>0</v>
      </c>
      <c r="T164" s="206"/>
      <c r="U164" s="206">
        <f t="shared" si="101"/>
        <v>0</v>
      </c>
      <c r="V164" s="206"/>
      <c r="W164" s="206">
        <f t="shared" si="102"/>
        <v>41422</v>
      </c>
      <c r="X164" s="206"/>
      <c r="Y164" s="206">
        <f t="shared" si="103"/>
        <v>5923</v>
      </c>
      <c r="Z164" s="206"/>
      <c r="AA164" s="206">
        <f t="shared" si="104"/>
        <v>0</v>
      </c>
      <c r="AB164" s="206"/>
      <c r="AC164" s="207">
        <f t="shared" si="105"/>
        <v>0</v>
      </c>
      <c r="AD164" s="206"/>
      <c r="AE164" s="207">
        <f t="shared" si="106"/>
        <v>0</v>
      </c>
      <c r="AF164" s="206"/>
      <c r="AG164" s="207">
        <f t="shared" si="107"/>
        <v>0</v>
      </c>
      <c r="AI164" s="208">
        <f t="shared" si="93"/>
        <v>0</v>
      </c>
    </row>
    <row r="165" spans="1:35">
      <c r="C165" s="210">
        <v>385</v>
      </c>
      <c r="E165" s="276" t="s">
        <v>164</v>
      </c>
      <c r="F165" s="276"/>
      <c r="G165" s="325" t="s">
        <v>330</v>
      </c>
      <c r="H165" s="276"/>
      <c r="I165" s="361">
        <f>+Linkin!H149</f>
        <v>216773</v>
      </c>
      <c r="K165" s="207">
        <f t="shared" si="96"/>
        <v>0</v>
      </c>
      <c r="M165" s="207">
        <f t="shared" si="97"/>
        <v>0</v>
      </c>
      <c r="N165" s="207"/>
      <c r="O165" s="207">
        <f t="shared" si="98"/>
        <v>0</v>
      </c>
      <c r="P165" s="207"/>
      <c r="Q165" s="207">
        <f t="shared" si="99"/>
        <v>0</v>
      </c>
      <c r="R165" s="207"/>
      <c r="S165" s="206">
        <f t="shared" si="100"/>
        <v>0</v>
      </c>
      <c r="T165" s="206"/>
      <c r="U165" s="206">
        <f t="shared" si="101"/>
        <v>0</v>
      </c>
      <c r="V165" s="206"/>
      <c r="W165" s="206">
        <f t="shared" si="102"/>
        <v>0</v>
      </c>
      <c r="X165" s="206"/>
      <c r="Y165" s="206">
        <f t="shared" si="103"/>
        <v>0</v>
      </c>
      <c r="Z165" s="206"/>
      <c r="AA165" s="206">
        <f t="shared" si="104"/>
        <v>0</v>
      </c>
      <c r="AB165" s="206"/>
      <c r="AC165" s="207">
        <f t="shared" si="105"/>
        <v>130151</v>
      </c>
      <c r="AD165" s="206"/>
      <c r="AE165" s="207">
        <f t="shared" si="106"/>
        <v>46953</v>
      </c>
      <c r="AF165" s="206"/>
      <c r="AG165" s="207">
        <f t="shared" si="107"/>
        <v>39669</v>
      </c>
      <c r="AI165" s="208">
        <f t="shared" si="93"/>
        <v>0</v>
      </c>
    </row>
    <row r="166" spans="1:35">
      <c r="C166" s="325">
        <v>386</v>
      </c>
      <c r="D166" s="276"/>
      <c r="E166" s="480" t="s">
        <v>39</v>
      </c>
      <c r="F166" s="276"/>
      <c r="G166" s="325">
        <v>6</v>
      </c>
      <c r="H166" s="276"/>
      <c r="I166" s="361">
        <f>+Linkin!H150</f>
        <v>3569</v>
      </c>
      <c r="J166" s="276"/>
      <c r="K166" s="207">
        <f t="shared" si="96"/>
        <v>0</v>
      </c>
      <c r="M166" s="207">
        <f t="shared" si="97"/>
        <v>0</v>
      </c>
      <c r="N166" s="207"/>
      <c r="O166" s="207">
        <f t="shared" si="98"/>
        <v>0</v>
      </c>
      <c r="P166" s="207"/>
      <c r="Q166" s="207">
        <f t="shared" si="99"/>
        <v>0</v>
      </c>
      <c r="R166" s="207"/>
      <c r="S166" s="206">
        <f t="shared" si="100"/>
        <v>0</v>
      </c>
      <c r="T166" s="206"/>
      <c r="U166" s="206">
        <f t="shared" si="101"/>
        <v>0</v>
      </c>
      <c r="V166" s="206"/>
      <c r="W166" s="206">
        <f t="shared" si="102"/>
        <v>1501</v>
      </c>
      <c r="X166" s="206"/>
      <c r="Y166" s="206">
        <f t="shared" si="103"/>
        <v>1167</v>
      </c>
      <c r="Z166" s="206"/>
      <c r="AA166" s="206">
        <f t="shared" si="104"/>
        <v>595</v>
      </c>
      <c r="AB166" s="206"/>
      <c r="AC166" s="207">
        <f t="shared" si="105"/>
        <v>239</v>
      </c>
      <c r="AD166" s="206"/>
      <c r="AE166" s="207">
        <f t="shared" si="106"/>
        <v>10</v>
      </c>
      <c r="AF166" s="206"/>
      <c r="AG166" s="207">
        <f t="shared" si="107"/>
        <v>57</v>
      </c>
      <c r="AI166" s="208">
        <f t="shared" si="93"/>
        <v>0</v>
      </c>
    </row>
    <row r="167" spans="1:35">
      <c r="C167" s="325">
        <v>387</v>
      </c>
      <c r="D167" s="276"/>
      <c r="E167" s="276" t="s">
        <v>296</v>
      </c>
      <c r="F167" s="276"/>
      <c r="G167" s="325">
        <v>10</v>
      </c>
      <c r="H167" s="276"/>
      <c r="I167" s="361">
        <f>+Linkin!H151</f>
        <v>0</v>
      </c>
      <c r="J167" s="276"/>
      <c r="K167" s="207">
        <f t="shared" si="96"/>
        <v>0</v>
      </c>
      <c r="M167" s="207">
        <f t="shared" si="97"/>
        <v>0</v>
      </c>
      <c r="N167" s="207"/>
      <c r="O167" s="207">
        <f t="shared" si="98"/>
        <v>0</v>
      </c>
      <c r="P167" s="207"/>
      <c r="Q167" s="207">
        <f t="shared" si="99"/>
        <v>0</v>
      </c>
      <c r="R167" s="207"/>
      <c r="S167" s="206">
        <f t="shared" si="100"/>
        <v>0</v>
      </c>
      <c r="T167" s="206"/>
      <c r="U167" s="206">
        <f t="shared" si="101"/>
        <v>0</v>
      </c>
      <c r="V167" s="206"/>
      <c r="W167" s="206">
        <f t="shared" si="102"/>
        <v>0</v>
      </c>
      <c r="X167" s="206"/>
      <c r="Y167" s="206">
        <f t="shared" si="103"/>
        <v>0</v>
      </c>
      <c r="Z167" s="206"/>
      <c r="AA167" s="206">
        <f t="shared" si="104"/>
        <v>0</v>
      </c>
      <c r="AB167" s="206"/>
      <c r="AC167" s="207">
        <f t="shared" si="105"/>
        <v>0</v>
      </c>
      <c r="AD167" s="206"/>
      <c r="AE167" s="207">
        <f t="shared" si="106"/>
        <v>0</v>
      </c>
      <c r="AF167" s="206"/>
      <c r="AG167" s="207">
        <f t="shared" si="107"/>
        <v>0</v>
      </c>
      <c r="AI167" s="208">
        <f t="shared" si="93"/>
        <v>0</v>
      </c>
    </row>
    <row r="168" spans="1:35">
      <c r="C168" s="210">
        <v>387.1</v>
      </c>
      <c r="E168" s="276" t="s">
        <v>296</v>
      </c>
      <c r="F168" s="276"/>
      <c r="G168" s="325">
        <v>10</v>
      </c>
      <c r="H168" s="276"/>
      <c r="I168" s="361">
        <v>0</v>
      </c>
      <c r="J168" s="201"/>
      <c r="K168" s="212">
        <f t="shared" si="96"/>
        <v>0</v>
      </c>
      <c r="L168" s="201"/>
      <c r="M168" s="212">
        <f t="shared" si="97"/>
        <v>0</v>
      </c>
      <c r="O168" s="212">
        <f t="shared" si="98"/>
        <v>0</v>
      </c>
      <c r="P168" s="213"/>
      <c r="Q168" s="212">
        <f t="shared" si="99"/>
        <v>0</v>
      </c>
      <c r="S168" s="211">
        <f t="shared" si="100"/>
        <v>0</v>
      </c>
      <c r="T168" s="214"/>
      <c r="U168" s="211">
        <f t="shared" si="101"/>
        <v>0</v>
      </c>
      <c r="V168" s="201"/>
      <c r="W168" s="212">
        <f t="shared" si="102"/>
        <v>0</v>
      </c>
      <c r="Y168" s="212">
        <f t="shared" si="103"/>
        <v>0</v>
      </c>
      <c r="Z168" s="206"/>
      <c r="AA168" s="212">
        <f t="shared" si="104"/>
        <v>0</v>
      </c>
      <c r="AB168" s="213"/>
      <c r="AC168" s="212">
        <f t="shared" si="105"/>
        <v>0</v>
      </c>
      <c r="AD168" s="201"/>
      <c r="AE168" s="212">
        <f t="shared" si="106"/>
        <v>0</v>
      </c>
      <c r="AF168" s="201"/>
      <c r="AG168" s="212">
        <f t="shared" si="107"/>
        <v>0</v>
      </c>
      <c r="AI168" s="208">
        <f t="shared" si="93"/>
        <v>0</v>
      </c>
    </row>
    <row r="169" spans="1:35" ht="15.75">
      <c r="B169" s="205">
        <f>+Linkin!H152</f>
        <v>19371477</v>
      </c>
      <c r="E169" s="654" t="s">
        <v>242</v>
      </c>
      <c r="F169" s="654"/>
      <c r="G169" s="655"/>
      <c r="H169" s="654"/>
      <c r="I169" s="656">
        <f>SUM(I152:I168)</f>
        <v>19371477</v>
      </c>
      <c r="J169" s="46"/>
      <c r="K169" s="46">
        <f>SUM(K152:K168)</f>
        <v>5033214</v>
      </c>
      <c r="L169" s="46"/>
      <c r="M169" s="46">
        <f>SUM(M152:M168)</f>
        <v>2094050</v>
      </c>
      <c r="N169" s="46"/>
      <c r="O169" s="46">
        <f>SUM(O152:O168)</f>
        <v>918330</v>
      </c>
      <c r="P169" s="46"/>
      <c r="Q169" s="46">
        <f>SUM(Q152:Q168)</f>
        <v>682133</v>
      </c>
      <c r="R169" s="46"/>
      <c r="S169" s="46">
        <f>SUM(S152:S168)</f>
        <v>1488750.3886712999</v>
      </c>
      <c r="T169" s="46"/>
      <c r="U169" s="46">
        <f>SUM(U152:U168)</f>
        <v>85543</v>
      </c>
      <c r="V169" s="46"/>
      <c r="W169" s="46">
        <f>SUM(W152:W168)</f>
        <v>6958189</v>
      </c>
      <c r="X169" s="46"/>
      <c r="Y169" s="46">
        <f>SUM(Y152:Y168)</f>
        <v>1412543</v>
      </c>
      <c r="Z169" s="46"/>
      <c r="AA169" s="46">
        <f>SUM(AA152:AA168)</f>
        <v>312791</v>
      </c>
      <c r="AB169" s="46"/>
      <c r="AC169" s="46">
        <f>SUM(AC152:AC168)</f>
        <v>258986</v>
      </c>
      <c r="AD169" s="46"/>
      <c r="AE169" s="46">
        <f>SUM(AE152:AE168)</f>
        <v>56388</v>
      </c>
      <c r="AF169" s="46"/>
      <c r="AG169" s="46">
        <f>SUM(AG152:AG168)</f>
        <v>70559</v>
      </c>
      <c r="AH169" s="34"/>
      <c r="AI169" s="208">
        <f t="shared" si="93"/>
        <v>-0.61132869869470596</v>
      </c>
    </row>
    <row r="170" spans="1:35">
      <c r="B170" s="206">
        <f>+B169-I169</f>
        <v>0</v>
      </c>
      <c r="E170" s="276"/>
      <c r="F170" s="276"/>
      <c r="G170" s="325"/>
      <c r="H170" s="276"/>
      <c r="I170" s="361"/>
      <c r="S170" s="206"/>
      <c r="T170" s="206"/>
      <c r="U170" s="206"/>
      <c r="Z170" s="206"/>
      <c r="AA170" s="206"/>
      <c r="AB170" s="206"/>
      <c r="AI170" s="208">
        <f t="shared" si="93"/>
        <v>0</v>
      </c>
    </row>
    <row r="171" spans="1:35" ht="15.75">
      <c r="A171" s="396"/>
      <c r="B171" s="396"/>
      <c r="C171" s="34" t="s">
        <v>243</v>
      </c>
      <c r="E171" s="276"/>
      <c r="F171" s="276"/>
      <c r="G171" s="325"/>
      <c r="H171" s="276"/>
      <c r="I171" s="361"/>
      <c r="S171" s="206"/>
      <c r="T171" s="206"/>
      <c r="U171" s="206"/>
      <c r="Z171" s="206"/>
      <c r="AA171" s="206"/>
      <c r="AB171" s="206"/>
      <c r="AI171" s="208">
        <f t="shared" si="93"/>
        <v>0</v>
      </c>
    </row>
    <row r="172" spans="1:35" ht="3.75" customHeight="1">
      <c r="A172" s="397"/>
      <c r="B172" s="397"/>
      <c r="C172" s="200" t="s">
        <v>218</v>
      </c>
      <c r="E172" s="276" t="s">
        <v>219</v>
      </c>
      <c r="F172" s="276"/>
      <c r="G172" s="325"/>
      <c r="H172" s="276"/>
      <c r="I172" s="361"/>
      <c r="S172" s="206"/>
      <c r="T172" s="206"/>
      <c r="U172" s="206"/>
      <c r="Z172" s="206"/>
      <c r="AA172" s="206"/>
      <c r="AB172" s="206"/>
      <c r="AI172" s="208">
        <f t="shared" si="93"/>
        <v>0</v>
      </c>
    </row>
    <row r="173" spans="1:35">
      <c r="A173" s="397"/>
      <c r="B173" s="397"/>
      <c r="C173" s="210">
        <v>390</v>
      </c>
      <c r="E173" s="276" t="s">
        <v>292</v>
      </c>
      <c r="F173" s="276"/>
      <c r="G173" s="325">
        <v>12</v>
      </c>
      <c r="H173" s="276"/>
      <c r="I173" s="361">
        <f>+Linkin!H155</f>
        <v>777092</v>
      </c>
      <c r="K173" s="213">
        <f>ROUND(VLOOKUP($G173,factors,+K$318)*$I173,0)</f>
        <v>166142</v>
      </c>
      <c r="M173" s="207">
        <f t="shared" ref="M173:M180" si="108">ROUND(VLOOKUP($G173,factors,+M$318)*$I173,0)</f>
        <v>62867</v>
      </c>
      <c r="N173" s="207"/>
      <c r="O173" s="207">
        <f t="shared" ref="O173:O180" si="109">ROUND(VLOOKUP($G173,factors,+O$318)*$I173,0)</f>
        <v>27276</v>
      </c>
      <c r="P173" s="207"/>
      <c r="Q173" s="207">
        <f t="shared" ref="Q173:Q180" si="110">ROUND(VLOOKUP($G173,factors,+Q$318)*$I173,0)</f>
        <v>20204</v>
      </c>
      <c r="R173" s="207"/>
      <c r="S173" s="206">
        <f t="shared" ref="S173:S180" si="111">ROUND(VLOOKUP($G173,factors,+S$318)*$I173,0)</f>
        <v>63955</v>
      </c>
      <c r="T173" s="206"/>
      <c r="U173" s="206">
        <f t="shared" ref="U173:U180" si="112">ROUND(VLOOKUP($G173,factors,+U$318)*$I173,0)</f>
        <v>2564</v>
      </c>
      <c r="V173" s="206"/>
      <c r="W173" s="206">
        <f t="shared" ref="W173:W180" si="113">ROUND(VLOOKUP($G173,factors,+W$318)*$I173,0)</f>
        <v>355986</v>
      </c>
      <c r="X173" s="206"/>
      <c r="Y173" s="206">
        <f t="shared" ref="Y173:Y180" si="114">ROUND(VLOOKUP($G173,factors,+Y$318)*$I173,0)</f>
        <v>48801</v>
      </c>
      <c r="Z173" s="206"/>
      <c r="AA173" s="206">
        <f t="shared" ref="AA173:AA180" si="115">ROUND(VLOOKUP($G173,factors,+AA$318)*$I173,0)</f>
        <v>13755</v>
      </c>
      <c r="AB173" s="206"/>
      <c r="AC173" s="207">
        <f t="shared" ref="AC173:AC180" si="116">ROUND(VLOOKUP($G173,factors,+AC$318)*$I173,0)</f>
        <v>10258</v>
      </c>
      <c r="AD173" s="206"/>
      <c r="AE173" s="207">
        <f t="shared" ref="AE173:AE180" si="117">ROUND(VLOOKUP($G173,factors,+AE$318)*$I173,0)</f>
        <v>2409</v>
      </c>
      <c r="AF173" s="206"/>
      <c r="AG173" s="207">
        <f t="shared" ref="AG173:AG180" si="118">ROUND(VLOOKUP($G173,factors,+AG$318)*$I173,0)</f>
        <v>2875</v>
      </c>
      <c r="AI173" s="208">
        <f t="shared" si="93"/>
        <v>0</v>
      </c>
    </row>
    <row r="174" spans="1:35">
      <c r="A174" s="398"/>
      <c r="B174" s="398"/>
      <c r="C174" s="210">
        <v>391</v>
      </c>
      <c r="E174" s="276" t="s">
        <v>297</v>
      </c>
      <c r="F174" s="276"/>
      <c r="G174" s="325">
        <v>12</v>
      </c>
      <c r="H174" s="276"/>
      <c r="I174" s="361">
        <f>+Linkin!H156+Linkin!H157+Linkin!H158+Linkin!H159+Linkin!H160</f>
        <v>132410</v>
      </c>
      <c r="K174" s="213">
        <f>ROUND(VLOOKUP($G174,factors,+K$318)*$I174,0)</f>
        <v>28309</v>
      </c>
      <c r="M174" s="207">
        <f t="shared" si="108"/>
        <v>10712</v>
      </c>
      <c r="N174" s="207"/>
      <c r="O174" s="207">
        <f t="shared" si="109"/>
        <v>4648</v>
      </c>
      <c r="P174" s="207"/>
      <c r="Q174" s="207">
        <f t="shared" si="110"/>
        <v>3443</v>
      </c>
      <c r="R174" s="207"/>
      <c r="S174" s="206">
        <f t="shared" si="111"/>
        <v>10897</v>
      </c>
      <c r="T174" s="206"/>
      <c r="U174" s="206">
        <f t="shared" si="112"/>
        <v>437</v>
      </c>
      <c r="V174" s="206"/>
      <c r="W174" s="206">
        <f t="shared" si="113"/>
        <v>60657</v>
      </c>
      <c r="X174" s="206"/>
      <c r="Y174" s="206">
        <f t="shared" si="114"/>
        <v>8315</v>
      </c>
      <c r="Z174" s="206"/>
      <c r="AA174" s="206">
        <f t="shared" si="115"/>
        <v>2344</v>
      </c>
      <c r="AB174" s="206"/>
      <c r="AC174" s="207">
        <f t="shared" si="116"/>
        <v>1748</v>
      </c>
      <c r="AD174" s="206"/>
      <c r="AE174" s="207">
        <f t="shared" si="117"/>
        <v>410</v>
      </c>
      <c r="AF174" s="206"/>
      <c r="AG174" s="207">
        <f t="shared" si="118"/>
        <v>490</v>
      </c>
      <c r="AI174" s="208">
        <f t="shared" si="93"/>
        <v>0</v>
      </c>
    </row>
    <row r="175" spans="1:35">
      <c r="A175" s="398"/>
      <c r="B175" s="397"/>
      <c r="C175" s="210">
        <v>392</v>
      </c>
      <c r="E175" s="276" t="s">
        <v>298</v>
      </c>
      <c r="F175" s="276"/>
      <c r="G175" s="325">
        <v>12</v>
      </c>
      <c r="H175" s="276"/>
      <c r="I175" s="361">
        <f>+Linkin!H161</f>
        <v>622605</v>
      </c>
      <c r="K175" s="213">
        <f>ROUND(VLOOKUP($G175,factors,+K$318)*$I175,0)</f>
        <v>133113</v>
      </c>
      <c r="M175" s="207">
        <f t="shared" si="108"/>
        <v>50369</v>
      </c>
      <c r="N175" s="207"/>
      <c r="O175" s="207">
        <f t="shared" si="109"/>
        <v>21853</v>
      </c>
      <c r="P175" s="207"/>
      <c r="Q175" s="207">
        <f t="shared" si="110"/>
        <v>16188</v>
      </c>
      <c r="R175" s="207"/>
      <c r="S175" s="206">
        <f t="shared" si="111"/>
        <v>51240</v>
      </c>
      <c r="T175" s="206"/>
      <c r="U175" s="206">
        <f t="shared" si="112"/>
        <v>2055</v>
      </c>
      <c r="V175" s="206"/>
      <c r="W175" s="206">
        <f t="shared" si="113"/>
        <v>285215</v>
      </c>
      <c r="X175" s="206"/>
      <c r="Y175" s="206">
        <f t="shared" si="114"/>
        <v>39100</v>
      </c>
      <c r="Z175" s="206"/>
      <c r="AA175" s="206">
        <f t="shared" si="115"/>
        <v>11020</v>
      </c>
      <c r="AB175" s="206"/>
      <c r="AC175" s="207">
        <f t="shared" si="116"/>
        <v>8218</v>
      </c>
      <c r="AD175" s="206"/>
      <c r="AE175" s="207">
        <f t="shared" si="117"/>
        <v>1930</v>
      </c>
      <c r="AF175" s="206"/>
      <c r="AG175" s="207">
        <f t="shared" si="118"/>
        <v>2304</v>
      </c>
      <c r="AI175" s="208">
        <f t="shared" si="93"/>
        <v>0</v>
      </c>
    </row>
    <row r="176" spans="1:35">
      <c r="C176" s="210">
        <v>394</v>
      </c>
      <c r="E176" s="276" t="s">
        <v>299</v>
      </c>
      <c r="F176" s="276"/>
      <c r="G176" s="325">
        <v>12</v>
      </c>
      <c r="H176" s="276"/>
      <c r="I176" s="361">
        <f>+Linkin!H163</f>
        <v>367316</v>
      </c>
      <c r="K176" s="213">
        <f>ROUND(VLOOKUP($G176,factors,+K$318)*$I176,0)</f>
        <v>78532</v>
      </c>
      <c r="M176" s="207">
        <f t="shared" si="108"/>
        <v>29716</v>
      </c>
      <c r="N176" s="207"/>
      <c r="O176" s="207">
        <f t="shared" si="109"/>
        <v>12893</v>
      </c>
      <c r="P176" s="207"/>
      <c r="Q176" s="207">
        <f t="shared" si="110"/>
        <v>9550</v>
      </c>
      <c r="R176" s="207"/>
      <c r="S176" s="206">
        <f t="shared" si="111"/>
        <v>30230</v>
      </c>
      <c r="T176" s="206"/>
      <c r="U176" s="206">
        <f t="shared" si="112"/>
        <v>1212</v>
      </c>
      <c r="V176" s="206"/>
      <c r="W176" s="206">
        <f t="shared" si="113"/>
        <v>168267</v>
      </c>
      <c r="X176" s="206"/>
      <c r="Y176" s="206">
        <f t="shared" si="114"/>
        <v>23067</v>
      </c>
      <c r="Z176" s="206"/>
      <c r="AA176" s="206">
        <f t="shared" si="115"/>
        <v>6501</v>
      </c>
      <c r="AB176" s="206"/>
      <c r="AC176" s="207">
        <f t="shared" si="116"/>
        <v>4849</v>
      </c>
      <c r="AD176" s="206"/>
      <c r="AE176" s="207">
        <f t="shared" si="117"/>
        <v>1139</v>
      </c>
      <c r="AF176" s="206"/>
      <c r="AG176" s="207">
        <f t="shared" si="118"/>
        <v>1359</v>
      </c>
      <c r="AI176" s="208">
        <f t="shared" si="93"/>
        <v>-1</v>
      </c>
    </row>
    <row r="177" spans="2:35">
      <c r="C177" s="210">
        <v>396</v>
      </c>
      <c r="E177" s="276" t="s">
        <v>300</v>
      </c>
      <c r="F177" s="276"/>
      <c r="G177" s="325">
        <v>12</v>
      </c>
      <c r="H177" s="276"/>
      <c r="I177" s="361">
        <f>+Linkin!H164</f>
        <v>12895</v>
      </c>
      <c r="K177" s="213">
        <f>ROUND(VLOOKUP($G177,factors,+K$318)*$I177,0)</f>
        <v>2757</v>
      </c>
      <c r="M177" s="207">
        <f t="shared" si="108"/>
        <v>1043</v>
      </c>
      <c r="N177" s="207"/>
      <c r="O177" s="207">
        <f t="shared" si="109"/>
        <v>453</v>
      </c>
      <c r="P177" s="207"/>
      <c r="Q177" s="207">
        <f t="shared" si="110"/>
        <v>335</v>
      </c>
      <c r="R177" s="207"/>
      <c r="S177" s="206">
        <f t="shared" si="111"/>
        <v>1061</v>
      </c>
      <c r="T177" s="206"/>
      <c r="U177" s="206">
        <f t="shared" si="112"/>
        <v>43</v>
      </c>
      <c r="W177" s="207">
        <f t="shared" si="113"/>
        <v>5907</v>
      </c>
      <c r="X177" s="207"/>
      <c r="Y177" s="207">
        <f t="shared" si="114"/>
        <v>810</v>
      </c>
      <c r="Z177" s="206"/>
      <c r="AA177" s="206">
        <f t="shared" si="115"/>
        <v>228</v>
      </c>
      <c r="AB177" s="206"/>
      <c r="AC177" s="207">
        <f t="shared" si="116"/>
        <v>170</v>
      </c>
      <c r="AE177" s="207">
        <f t="shared" si="117"/>
        <v>40</v>
      </c>
      <c r="AG177" s="207">
        <f t="shared" si="118"/>
        <v>48</v>
      </c>
      <c r="AH177" s="207"/>
      <c r="AI177" s="208">
        <f t="shared" si="93"/>
        <v>0</v>
      </c>
    </row>
    <row r="178" spans="2:35">
      <c r="C178" s="210">
        <v>397</v>
      </c>
      <c r="E178" s="276" t="s">
        <v>301</v>
      </c>
      <c r="F178" s="276"/>
      <c r="G178" s="325">
        <v>12</v>
      </c>
      <c r="H178" s="308"/>
      <c r="I178" s="361">
        <f>+Linkin!H165+Linkin!H166</f>
        <v>7821</v>
      </c>
      <c r="J178" s="201"/>
      <c r="K178" s="213">
        <f>ROUND(VLOOKUP($G178,factors,+K$318)*$I178,0)-1</f>
        <v>1671</v>
      </c>
      <c r="M178" s="207">
        <f t="shared" si="108"/>
        <v>633</v>
      </c>
      <c r="N178" s="207"/>
      <c r="O178" s="207">
        <f t="shared" si="109"/>
        <v>275</v>
      </c>
      <c r="P178" s="207"/>
      <c r="Q178" s="207">
        <f t="shared" si="110"/>
        <v>203</v>
      </c>
      <c r="R178" s="207"/>
      <c r="S178" s="206">
        <f t="shared" si="111"/>
        <v>644</v>
      </c>
      <c r="T178" s="206"/>
      <c r="U178" s="206">
        <f t="shared" si="112"/>
        <v>26</v>
      </c>
      <c r="W178" s="207">
        <f t="shared" si="113"/>
        <v>3583</v>
      </c>
      <c r="X178" s="207"/>
      <c r="Y178" s="207">
        <f t="shared" si="114"/>
        <v>491</v>
      </c>
      <c r="Z178" s="206"/>
      <c r="AA178" s="206">
        <f t="shared" si="115"/>
        <v>138</v>
      </c>
      <c r="AB178" s="206"/>
      <c r="AC178" s="207">
        <f t="shared" si="116"/>
        <v>103</v>
      </c>
      <c r="AE178" s="207">
        <f t="shared" si="117"/>
        <v>24</v>
      </c>
      <c r="AG178" s="207">
        <f t="shared" si="118"/>
        <v>29</v>
      </c>
      <c r="AH178" s="207"/>
      <c r="AI178" s="208">
        <f t="shared" si="93"/>
        <v>-1</v>
      </c>
    </row>
    <row r="179" spans="2:35">
      <c r="C179" s="210">
        <v>398</v>
      </c>
      <c r="E179" s="276" t="s">
        <v>165</v>
      </c>
      <c r="F179" s="276"/>
      <c r="G179" s="325">
        <v>12</v>
      </c>
      <c r="H179" s="308"/>
      <c r="I179" s="361">
        <f>+Linkin!H167+Linkin!H162</f>
        <v>58147</v>
      </c>
      <c r="J179" s="201"/>
      <c r="K179" s="213">
        <f>ROUND(VLOOKUP($G179,factors,+K$318)*$I179,0)-1</f>
        <v>12431</v>
      </c>
      <c r="M179" s="207">
        <f t="shared" si="108"/>
        <v>4704</v>
      </c>
      <c r="N179" s="207"/>
      <c r="O179" s="207">
        <f t="shared" si="109"/>
        <v>2041</v>
      </c>
      <c r="P179" s="207"/>
      <c r="Q179" s="207">
        <f t="shared" si="110"/>
        <v>1512</v>
      </c>
      <c r="R179" s="207"/>
      <c r="S179" s="206">
        <f t="shared" si="111"/>
        <v>4785</v>
      </c>
      <c r="T179" s="206"/>
      <c r="U179" s="206">
        <f t="shared" si="112"/>
        <v>192</v>
      </c>
      <c r="W179" s="207">
        <f t="shared" si="113"/>
        <v>26637</v>
      </c>
      <c r="X179" s="207"/>
      <c r="Y179" s="207">
        <f t="shared" si="114"/>
        <v>3652</v>
      </c>
      <c r="Z179" s="206"/>
      <c r="AA179" s="206">
        <f t="shared" si="115"/>
        <v>1029</v>
      </c>
      <c r="AB179" s="206"/>
      <c r="AC179" s="207">
        <f t="shared" si="116"/>
        <v>768</v>
      </c>
      <c r="AE179" s="207">
        <f t="shared" si="117"/>
        <v>180</v>
      </c>
      <c r="AG179" s="207">
        <f t="shared" si="118"/>
        <v>215</v>
      </c>
      <c r="AH179" s="207"/>
      <c r="AI179" s="208">
        <f t="shared" si="93"/>
        <v>-1</v>
      </c>
    </row>
    <row r="180" spans="2:35">
      <c r="C180" s="210">
        <v>399</v>
      </c>
      <c r="E180" s="276" t="s">
        <v>40</v>
      </c>
      <c r="F180" s="276"/>
      <c r="G180" s="325">
        <v>12</v>
      </c>
      <c r="H180" s="308"/>
      <c r="I180" s="479">
        <f>+Linkin!H168</f>
        <v>0</v>
      </c>
      <c r="J180" s="201"/>
      <c r="K180" s="212">
        <f>ROUND(VLOOKUP($G180,factors,+K$318)*$I180,0)</f>
        <v>0</v>
      </c>
      <c r="M180" s="212">
        <f t="shared" si="108"/>
        <v>0</v>
      </c>
      <c r="N180" s="207"/>
      <c r="O180" s="212">
        <f t="shared" si="109"/>
        <v>0</v>
      </c>
      <c r="P180" s="213"/>
      <c r="Q180" s="212">
        <f t="shared" si="110"/>
        <v>0</v>
      </c>
      <c r="R180" s="207"/>
      <c r="S180" s="211">
        <f t="shared" si="111"/>
        <v>0</v>
      </c>
      <c r="T180" s="214"/>
      <c r="U180" s="211">
        <f t="shared" si="112"/>
        <v>0</v>
      </c>
      <c r="W180" s="212">
        <f t="shared" si="113"/>
        <v>0</v>
      </c>
      <c r="X180" s="207"/>
      <c r="Y180" s="212">
        <f t="shared" si="114"/>
        <v>0</v>
      </c>
      <c r="Z180" s="206"/>
      <c r="AA180" s="211">
        <f t="shared" si="115"/>
        <v>0</v>
      </c>
      <c r="AB180" s="214"/>
      <c r="AC180" s="212">
        <f t="shared" si="116"/>
        <v>0</v>
      </c>
      <c r="AE180" s="212">
        <f t="shared" si="117"/>
        <v>0</v>
      </c>
      <c r="AG180" s="212">
        <f t="shared" si="118"/>
        <v>0</v>
      </c>
      <c r="AH180" s="207"/>
      <c r="AI180" s="208">
        <f t="shared" si="93"/>
        <v>0</v>
      </c>
    </row>
    <row r="181" spans="2:35" ht="15.75">
      <c r="E181" s="654" t="s">
        <v>244</v>
      </c>
      <c r="F181" s="654"/>
      <c r="G181" s="655"/>
      <c r="H181" s="654"/>
      <c r="I181" s="656">
        <f>SUM(I173:I180)</f>
        <v>1978286</v>
      </c>
      <c r="J181" s="34"/>
      <c r="K181" s="46">
        <f>SUM(K173:K180)</f>
        <v>422955</v>
      </c>
      <c r="L181" s="34"/>
      <c r="M181" s="46">
        <f>SUM(M173:M180)</f>
        <v>160044</v>
      </c>
      <c r="N181" s="34"/>
      <c r="O181" s="46">
        <f>SUM(O173:O180)</f>
        <v>69439</v>
      </c>
      <c r="P181" s="55"/>
      <c r="Q181" s="46">
        <f>SUM(Q173:Q180)</f>
        <v>51435</v>
      </c>
      <c r="R181" s="34"/>
      <c r="S181" s="46">
        <f>SUM(S173:S180)</f>
        <v>162812</v>
      </c>
      <c r="T181" s="55"/>
      <c r="U181" s="46">
        <f>SUM(U173:U180)</f>
        <v>6529</v>
      </c>
      <c r="V181" s="34"/>
      <c r="W181" s="46">
        <f>SUM(W173:W180)</f>
        <v>906252</v>
      </c>
      <c r="X181" s="34"/>
      <c r="Y181" s="46">
        <f>SUM(Y173:Y180)</f>
        <v>124236</v>
      </c>
      <c r="Z181" s="34"/>
      <c r="AA181" s="46">
        <f>SUM(AA173:AA180)</f>
        <v>35015</v>
      </c>
      <c r="AB181" s="55"/>
      <c r="AC181" s="46">
        <f>SUM(AC173:AC180)</f>
        <v>26114</v>
      </c>
      <c r="AD181" s="34"/>
      <c r="AE181" s="46">
        <f>SUM(AE173:AE180)</f>
        <v>6132</v>
      </c>
      <c r="AF181" s="34"/>
      <c r="AG181" s="46">
        <f>SUM(AG173:AG180)</f>
        <v>7320</v>
      </c>
      <c r="AH181" s="34"/>
      <c r="AI181" s="208">
        <f t="shared" si="93"/>
        <v>-3</v>
      </c>
    </row>
    <row r="182" spans="2:35" ht="15.75">
      <c r="B182" s="206">
        <f>+I169+I181</f>
        <v>21349763</v>
      </c>
      <c r="E182" s="654"/>
      <c r="F182" s="654"/>
      <c r="G182" s="655"/>
      <c r="H182" s="654"/>
      <c r="I182" s="657"/>
      <c r="J182" s="34"/>
      <c r="K182" s="55"/>
      <c r="L182" s="34"/>
      <c r="M182" s="55"/>
      <c r="N182" s="34"/>
      <c r="O182" s="55"/>
      <c r="P182" s="55"/>
      <c r="Q182" s="55"/>
      <c r="R182" s="34"/>
      <c r="S182" s="55"/>
      <c r="T182" s="55"/>
      <c r="U182" s="55"/>
      <c r="V182" s="34"/>
      <c r="W182" s="55"/>
      <c r="X182" s="34"/>
      <c r="Y182" s="55"/>
      <c r="Z182" s="34"/>
      <c r="AA182" s="55"/>
      <c r="AB182" s="55"/>
      <c r="AC182" s="55"/>
      <c r="AD182" s="34"/>
      <c r="AE182" s="55"/>
      <c r="AF182" s="34"/>
      <c r="AG182" s="55"/>
      <c r="AH182" s="34"/>
      <c r="AI182" s="208"/>
    </row>
    <row r="183" spans="2:35" ht="15.75">
      <c r="C183" s="34" t="s">
        <v>668</v>
      </c>
      <c r="E183" s="654"/>
      <c r="F183" s="654"/>
      <c r="G183" s="655"/>
      <c r="H183" s="654"/>
      <c r="I183" s="657"/>
      <c r="J183" s="34"/>
      <c r="K183" s="55"/>
      <c r="L183" s="34"/>
      <c r="M183" s="55"/>
      <c r="N183" s="34"/>
      <c r="O183" s="55"/>
      <c r="P183" s="55"/>
      <c r="Q183" s="55"/>
      <c r="R183" s="34"/>
      <c r="S183" s="55"/>
      <c r="T183" s="55"/>
      <c r="U183" s="55"/>
      <c r="V183" s="34"/>
      <c r="W183" s="55"/>
      <c r="X183" s="34"/>
      <c r="Y183" s="55"/>
      <c r="Z183" s="34"/>
      <c r="AA183" s="55"/>
      <c r="AB183" s="55"/>
      <c r="AC183" s="55"/>
      <c r="AD183" s="34"/>
      <c r="AE183" s="55"/>
      <c r="AF183" s="34"/>
      <c r="AG183" s="55"/>
      <c r="AH183" s="34"/>
      <c r="AI183" s="208"/>
    </row>
    <row r="184" spans="2:35" ht="15.75">
      <c r="C184" s="548">
        <v>390.2</v>
      </c>
      <c r="E184" s="662" t="s">
        <v>547</v>
      </c>
      <c r="F184" s="654"/>
      <c r="G184" s="478">
        <v>12</v>
      </c>
      <c r="H184" s="654"/>
      <c r="I184" s="663">
        <f>ROUND((+Linkin!H188+Linkin!H189)*0.1489,0)</f>
        <v>153298</v>
      </c>
      <c r="J184" s="34"/>
      <c r="K184" s="213">
        <f>ROUND(VLOOKUP($G184,factors,+K$318)*$I184,0)</f>
        <v>32775</v>
      </c>
      <c r="M184" s="207">
        <f>ROUND(VLOOKUP($G184,factors,+M$318)*$I184,0)</f>
        <v>12402</v>
      </c>
      <c r="N184" s="207"/>
      <c r="O184" s="207">
        <f>ROUND(VLOOKUP($G184,factors,+O$318)*$I184,0)</f>
        <v>5381</v>
      </c>
      <c r="P184" s="207"/>
      <c r="Q184" s="207">
        <f>ROUND(VLOOKUP($G184,factors,+Q$318)*$I184,0)</f>
        <v>3986</v>
      </c>
      <c r="R184" s="207"/>
      <c r="S184" s="206">
        <f>ROUND(VLOOKUP($G184,factors,+S$318)*$I184,0)</f>
        <v>12616</v>
      </c>
      <c r="T184" s="206"/>
      <c r="U184" s="206">
        <f>ROUND(VLOOKUP($G184,factors,+U$318)*$I184,0)</f>
        <v>506</v>
      </c>
      <c r="V184" s="206"/>
      <c r="W184" s="206">
        <f>ROUND(VLOOKUP($G184,factors,+W$318)*$I184,0)</f>
        <v>70226</v>
      </c>
      <c r="X184" s="206"/>
      <c r="Y184" s="206">
        <f>ROUND(VLOOKUP($G184,factors,+Y$318)*$I184,0)</f>
        <v>9627</v>
      </c>
      <c r="Z184" s="206"/>
      <c r="AA184" s="206">
        <f>ROUND(VLOOKUP($G184,factors,+AA$318)*$I184,0)</f>
        <v>2713</v>
      </c>
      <c r="AB184" s="206"/>
      <c r="AC184" s="207">
        <f>ROUND(VLOOKUP($G184,factors,+AC$318)*$I184,0)</f>
        <v>2024</v>
      </c>
      <c r="AD184" s="206"/>
      <c r="AE184" s="207">
        <f>ROUND(VLOOKUP($G184,factors,+AE$318)*$I184,0)</f>
        <v>475</v>
      </c>
      <c r="AF184" s="206"/>
      <c r="AG184" s="207">
        <f>ROUND(VLOOKUP($G184,factors,+AG$318)*$I184,0)</f>
        <v>567</v>
      </c>
      <c r="AI184" s="208">
        <f>SUM(K184:AG184)-I184</f>
        <v>0</v>
      </c>
    </row>
    <row r="185" spans="2:35" ht="15.75">
      <c r="C185" s="513">
        <v>391</v>
      </c>
      <c r="E185" s="279" t="s">
        <v>545</v>
      </c>
      <c r="F185" s="654"/>
      <c r="G185" s="478">
        <v>12</v>
      </c>
      <c r="H185" s="654"/>
      <c r="I185" s="663">
        <f>ROUND((+Linkin!H190+Linkin!H191)*0.1489,0)</f>
        <v>25843</v>
      </c>
      <c r="J185" s="34"/>
      <c r="K185" s="213">
        <f>ROUND(VLOOKUP($G185,factors,+K$318)*$I185,0)</f>
        <v>5525</v>
      </c>
      <c r="M185" s="207">
        <f>ROUND(VLOOKUP($G185,factors,+M$318)*$I185,0)</f>
        <v>2091</v>
      </c>
      <c r="N185" s="207"/>
      <c r="O185" s="207">
        <f>ROUND(VLOOKUP($G185,factors,+O$318)*$I185,0)</f>
        <v>907</v>
      </c>
      <c r="P185" s="207"/>
      <c r="Q185" s="207">
        <f>ROUND(VLOOKUP($G185,factors,+Q$318)*$I185,0)</f>
        <v>672</v>
      </c>
      <c r="R185" s="207"/>
      <c r="S185" s="206">
        <f>ROUND(VLOOKUP($G185,factors,+S$318)*$I185,0)</f>
        <v>2127</v>
      </c>
      <c r="T185" s="206"/>
      <c r="U185" s="206">
        <f>ROUND(VLOOKUP($G185,factors,+U$318)*$I185,0)</f>
        <v>85</v>
      </c>
      <c r="V185" s="206"/>
      <c r="W185" s="206">
        <f>ROUND(VLOOKUP($G185,factors,+W$318)*$I185,0)</f>
        <v>11839</v>
      </c>
      <c r="X185" s="206"/>
      <c r="Y185" s="206">
        <f>ROUND(VLOOKUP($G185,factors,+Y$318)*$I185,0)</f>
        <v>1623</v>
      </c>
      <c r="Z185" s="206"/>
      <c r="AA185" s="206">
        <f>ROUND(VLOOKUP($G185,factors,+AA$318)*$I185,0)</f>
        <v>457</v>
      </c>
      <c r="AB185" s="206"/>
      <c r="AC185" s="207">
        <f>ROUND(VLOOKUP($G185,factors,+AC$318)*$I185,0)</f>
        <v>341</v>
      </c>
      <c r="AD185" s="206"/>
      <c r="AE185" s="207">
        <f>ROUND(VLOOKUP($G185,factors,+AE$318)*$I185,0)</f>
        <v>80</v>
      </c>
      <c r="AF185" s="206"/>
      <c r="AG185" s="207">
        <f>ROUND(VLOOKUP($G185,factors,+AG$318)*$I185,0)</f>
        <v>96</v>
      </c>
      <c r="AI185" s="208">
        <f>SUM(K185:AG185)-I185</f>
        <v>0</v>
      </c>
    </row>
    <row r="186" spans="2:35" ht="15.75">
      <c r="C186" s="513">
        <v>392.1</v>
      </c>
      <c r="E186" s="279" t="s">
        <v>546</v>
      </c>
      <c r="F186" s="654"/>
      <c r="G186" s="478">
        <v>12</v>
      </c>
      <c r="H186" s="654"/>
      <c r="I186" s="664">
        <f>ROUND(+Linkin!H192*0.1489,0)</f>
        <v>352</v>
      </c>
      <c r="J186" s="34"/>
      <c r="K186" s="212">
        <f>ROUND(VLOOKUP($G186,factors,+K$318)*$I186,0)</f>
        <v>75</v>
      </c>
      <c r="M186" s="212">
        <f>ROUND(VLOOKUP($G186,factors,+M$318)*$I186,0)</f>
        <v>28</v>
      </c>
      <c r="N186" s="207"/>
      <c r="O186" s="212">
        <f>ROUND(VLOOKUP($G186,factors,+O$318)*$I186,0)</f>
        <v>12</v>
      </c>
      <c r="P186" s="213"/>
      <c r="Q186" s="212">
        <f>ROUND(VLOOKUP($G186,factors,+Q$318)*$I186,0)</f>
        <v>9</v>
      </c>
      <c r="R186" s="207"/>
      <c r="S186" s="211">
        <f>ROUND(VLOOKUP($G186,factors,+S$318)*$I186,0)</f>
        <v>29</v>
      </c>
      <c r="T186" s="214"/>
      <c r="U186" s="211">
        <f>ROUND(VLOOKUP($G186,factors,+U$318)*$I186,0)</f>
        <v>1</v>
      </c>
      <c r="W186" s="212">
        <f>ROUND(VLOOKUP($G186,factors,+W$318)*$I186,0)</f>
        <v>161</v>
      </c>
      <c r="X186" s="207"/>
      <c r="Y186" s="212">
        <f>ROUND(VLOOKUP($G186,factors,+Y$318)*$I186,0)</f>
        <v>22</v>
      </c>
      <c r="Z186" s="206"/>
      <c r="AA186" s="211">
        <f>ROUND(VLOOKUP($G186,factors,+AA$318)*$I186,0)</f>
        <v>6</v>
      </c>
      <c r="AB186" s="214"/>
      <c r="AC186" s="212">
        <f>ROUND(VLOOKUP($G186,factors,+AC$318)*$I186,0)</f>
        <v>5</v>
      </c>
      <c r="AE186" s="212">
        <f>ROUND(VLOOKUP($G186,factors,+AE$318)*$I186,0)</f>
        <v>1</v>
      </c>
      <c r="AG186" s="212">
        <f>ROUND(VLOOKUP($G186,factors,+AG$318)*$I186,0)</f>
        <v>1</v>
      </c>
      <c r="AI186" s="208">
        <f>SUM(K186:AG186)-I186</f>
        <v>-2</v>
      </c>
    </row>
    <row r="187" spans="2:35" ht="15.75">
      <c r="D187" s="1"/>
      <c r="E187" s="665" t="s">
        <v>544</v>
      </c>
      <c r="F187" s="654"/>
      <c r="G187" s="655"/>
      <c r="H187" s="654"/>
      <c r="I187" s="657">
        <f>SUM(I184:I186)</f>
        <v>179493</v>
      </c>
      <c r="J187" s="55"/>
      <c r="K187" s="55">
        <f t="shared" ref="K187:AG187" si="119">SUM(K184:K186)</f>
        <v>38375</v>
      </c>
      <c r="L187" s="55">
        <f t="shared" si="119"/>
        <v>0</v>
      </c>
      <c r="M187" s="55">
        <f t="shared" si="119"/>
        <v>14521</v>
      </c>
      <c r="N187" s="55">
        <f t="shared" si="119"/>
        <v>0</v>
      </c>
      <c r="O187" s="55">
        <f t="shared" si="119"/>
        <v>6300</v>
      </c>
      <c r="P187" s="55">
        <f t="shared" si="119"/>
        <v>0</v>
      </c>
      <c r="Q187" s="55">
        <f t="shared" si="119"/>
        <v>4667</v>
      </c>
      <c r="R187" s="55">
        <f t="shared" si="119"/>
        <v>0</v>
      </c>
      <c r="S187" s="55">
        <f t="shared" si="119"/>
        <v>14772</v>
      </c>
      <c r="T187" s="55">
        <f t="shared" si="119"/>
        <v>0</v>
      </c>
      <c r="U187" s="55">
        <f t="shared" si="119"/>
        <v>592</v>
      </c>
      <c r="V187" s="55">
        <f t="shared" si="119"/>
        <v>0</v>
      </c>
      <c r="W187" s="55">
        <f t="shared" si="119"/>
        <v>82226</v>
      </c>
      <c r="X187" s="55">
        <f t="shared" si="119"/>
        <v>0</v>
      </c>
      <c r="Y187" s="55">
        <f t="shared" si="119"/>
        <v>11272</v>
      </c>
      <c r="Z187" s="55">
        <f t="shared" si="119"/>
        <v>0</v>
      </c>
      <c r="AA187" s="55">
        <f t="shared" si="119"/>
        <v>3176</v>
      </c>
      <c r="AB187" s="55">
        <f t="shared" si="119"/>
        <v>0</v>
      </c>
      <c r="AC187" s="55">
        <f t="shared" si="119"/>
        <v>2370</v>
      </c>
      <c r="AD187" s="55">
        <f t="shared" si="119"/>
        <v>0</v>
      </c>
      <c r="AE187" s="55">
        <f t="shared" si="119"/>
        <v>556</v>
      </c>
      <c r="AF187" s="55">
        <f t="shared" si="119"/>
        <v>0</v>
      </c>
      <c r="AG187" s="55">
        <f t="shared" si="119"/>
        <v>664</v>
      </c>
      <c r="AH187" s="55"/>
      <c r="AI187" s="208">
        <f>SUM(K187:AG187)-I187</f>
        <v>-2</v>
      </c>
    </row>
    <row r="188" spans="2:35" ht="15.75">
      <c r="E188" s="654"/>
      <c r="F188" s="654"/>
      <c r="G188" s="655"/>
      <c r="H188" s="654"/>
      <c r="I188" s="657"/>
      <c r="J188" s="34"/>
      <c r="K188" s="55"/>
      <c r="L188" s="34"/>
      <c r="M188" s="55"/>
      <c r="N188" s="34"/>
      <c r="O188" s="55"/>
      <c r="P188" s="55"/>
      <c r="Q188" s="55"/>
      <c r="R188" s="34"/>
      <c r="S188" s="55"/>
      <c r="T188" s="55"/>
      <c r="U188" s="55"/>
      <c r="V188" s="34"/>
      <c r="W188" s="55"/>
      <c r="X188" s="34"/>
      <c r="Y188" s="55"/>
      <c r="Z188" s="34"/>
      <c r="AA188" s="55"/>
      <c r="AB188" s="55"/>
      <c r="AC188" s="55"/>
      <c r="AD188" s="34"/>
      <c r="AE188" s="55"/>
      <c r="AF188" s="34"/>
      <c r="AG188" s="55"/>
      <c r="AH188" s="34"/>
      <c r="AI188" s="208"/>
    </row>
    <row r="189" spans="2:35" ht="15.75">
      <c r="C189" s="34" t="s">
        <v>669</v>
      </c>
      <c r="E189" s="654"/>
      <c r="F189" s="654"/>
      <c r="G189" s="655"/>
      <c r="H189" s="654"/>
      <c r="I189" s="657"/>
      <c r="J189" s="34"/>
      <c r="K189" s="55"/>
      <c r="L189" s="34"/>
      <c r="M189" s="55"/>
      <c r="N189" s="34"/>
      <c r="O189" s="55"/>
      <c r="P189" s="55"/>
      <c r="Q189" s="55"/>
      <c r="R189" s="34"/>
      <c r="S189" s="55"/>
      <c r="T189" s="55"/>
      <c r="U189" s="55"/>
      <c r="V189" s="34"/>
      <c r="W189" s="55"/>
      <c r="X189" s="34"/>
      <c r="Y189" s="55"/>
      <c r="Z189" s="34"/>
      <c r="AA189" s="55"/>
      <c r="AB189" s="55"/>
      <c r="AC189" s="55"/>
      <c r="AD189" s="34"/>
      <c r="AE189" s="55"/>
      <c r="AF189" s="34"/>
      <c r="AG189" s="55"/>
      <c r="AH189" s="34"/>
      <c r="AI189" s="208"/>
    </row>
    <row r="190" spans="2:35" ht="15.75">
      <c r="C190" s="210">
        <v>391</v>
      </c>
      <c r="E190" s="279" t="s">
        <v>545</v>
      </c>
      <c r="F190" s="654"/>
      <c r="G190" s="478">
        <v>12</v>
      </c>
      <c r="H190" s="654"/>
      <c r="I190" s="663">
        <f>ROUND((+Linkin!H198+Linkin!H199+Linkin!H200+Linkin!H203)*0.2817,0)</f>
        <v>640508</v>
      </c>
      <c r="J190" s="34"/>
      <c r="K190" s="213">
        <f>ROUND(VLOOKUP($G190,factors,+K$318)*$I190,0)</f>
        <v>136941</v>
      </c>
      <c r="M190" s="207">
        <f>ROUND(VLOOKUP($G190,factors,+M$318)*$I190,0)</f>
        <v>51817</v>
      </c>
      <c r="N190" s="207"/>
      <c r="O190" s="207">
        <f>ROUND(VLOOKUP($G190,factors,+O$318)*$I190,0)</f>
        <v>22482</v>
      </c>
      <c r="P190" s="207"/>
      <c r="Q190" s="207">
        <f>ROUND(VLOOKUP($G190,factors,+Q$318)*$I190,0)</f>
        <v>16653</v>
      </c>
      <c r="R190" s="207"/>
      <c r="S190" s="206">
        <f>ROUND(VLOOKUP($G190,factors,+S$318)*$I190,0)</f>
        <v>52714</v>
      </c>
      <c r="T190" s="206"/>
      <c r="U190" s="206">
        <f>ROUND(VLOOKUP($G190,factors,+U$318)*$I190,0)</f>
        <v>2114</v>
      </c>
      <c r="V190" s="206"/>
      <c r="W190" s="206">
        <f>ROUND(VLOOKUP($G190,factors,+W$318)*$I190,0)</f>
        <v>293417</v>
      </c>
      <c r="X190" s="206"/>
      <c r="Y190" s="206">
        <f>ROUND(VLOOKUP($G190,factors,+Y$318)*$I190,0)</f>
        <v>40224</v>
      </c>
      <c r="Z190" s="206"/>
      <c r="AA190" s="206">
        <f>ROUND(VLOOKUP($G190,factors,+AA$318)*$I190,0)</f>
        <v>11337</v>
      </c>
      <c r="AB190" s="206"/>
      <c r="AC190" s="207">
        <f>ROUND(VLOOKUP($G190,factors,+AC$318)*$I190,0)</f>
        <v>8455</v>
      </c>
      <c r="AD190" s="206"/>
      <c r="AE190" s="207">
        <f>ROUND(VLOOKUP($G190,factors,+AE$318)*$I190,0)</f>
        <v>1986</v>
      </c>
      <c r="AF190" s="206"/>
      <c r="AG190" s="207">
        <f>ROUND(VLOOKUP($G190,factors,+AG$318)*$I190,0)</f>
        <v>2370</v>
      </c>
      <c r="AI190" s="208">
        <f>SUM(K190:AG190)-I190</f>
        <v>2</v>
      </c>
    </row>
    <row r="191" spans="2:35" ht="15.75">
      <c r="C191" s="210">
        <v>391.1</v>
      </c>
      <c r="E191" s="279" t="s">
        <v>548</v>
      </c>
      <c r="F191" s="654"/>
      <c r="G191" s="478">
        <v>7</v>
      </c>
      <c r="H191" s="654"/>
      <c r="I191" s="664">
        <f>ROUND(+Linkin!H202*0.2817,)</f>
        <v>1653951</v>
      </c>
      <c r="J191" s="34"/>
      <c r="K191" s="212">
        <f>ROUND(VLOOKUP($G191,factors,+K$318)*$I191,0)</f>
        <v>0</v>
      </c>
      <c r="M191" s="212">
        <f>ROUND(VLOOKUP($G191,factors,+M$318)*$I191,0)</f>
        <v>0</v>
      </c>
      <c r="N191" s="207"/>
      <c r="O191" s="212">
        <f>ROUND(VLOOKUP($G191,factors,+O$318)*$I191,0)</f>
        <v>0</v>
      </c>
      <c r="P191" s="213"/>
      <c r="Q191" s="212">
        <f>ROUND(VLOOKUP($G191,factors,+Q$318)*$I191,0)</f>
        <v>0</v>
      </c>
      <c r="R191" s="207"/>
      <c r="S191" s="211">
        <f>ROUND(VLOOKUP($G191,factors,+S$318)*$I191,0)</f>
        <v>0</v>
      </c>
      <c r="T191" s="214"/>
      <c r="U191" s="211">
        <f>ROUND(VLOOKUP($G191,factors,+U$318)*$I191,0)</f>
        <v>0</v>
      </c>
      <c r="W191" s="212">
        <f>ROUND(VLOOKUP($G191,factors,+W$318)*$I191,0)</f>
        <v>1488887</v>
      </c>
      <c r="X191" s="207"/>
      <c r="Y191" s="212">
        <f>ROUND(VLOOKUP($G191,factors,+Y$318)*$I191,0)</f>
        <v>158945</v>
      </c>
      <c r="Z191" s="206"/>
      <c r="AA191" s="211">
        <f>ROUND(VLOOKUP($G191,factors,+AA$318)*$I191,0)</f>
        <v>4300</v>
      </c>
      <c r="AB191" s="214"/>
      <c r="AC191" s="212">
        <f>ROUND(VLOOKUP($G191,factors,+AC$318)*$I191,0)</f>
        <v>1323</v>
      </c>
      <c r="AE191" s="212">
        <f>ROUND(VLOOKUP($G191,factors,+AE$318)*$I191,0)</f>
        <v>165</v>
      </c>
      <c r="AG191" s="212">
        <f>ROUND(VLOOKUP($G191,factors,+AG$318)*$I191,0)</f>
        <v>331</v>
      </c>
      <c r="AI191" s="208">
        <f>SUM(K191:AG191)-I191</f>
        <v>0</v>
      </c>
    </row>
    <row r="192" spans="2:35" ht="15.75">
      <c r="E192" s="654" t="s">
        <v>549</v>
      </c>
      <c r="F192" s="276"/>
      <c r="G192" s="325"/>
      <c r="H192" s="276"/>
      <c r="I192" s="666">
        <f>SUM(I190:I191)</f>
        <v>2294459</v>
      </c>
      <c r="J192" s="312"/>
      <c r="K192" s="312">
        <f t="shared" ref="K192:AG192" si="120">SUM(K190:K191)</f>
        <v>136941</v>
      </c>
      <c r="L192" s="312">
        <f t="shared" si="120"/>
        <v>0</v>
      </c>
      <c r="M192" s="312">
        <f t="shared" si="120"/>
        <v>51817</v>
      </c>
      <c r="N192" s="312">
        <f t="shared" si="120"/>
        <v>0</v>
      </c>
      <c r="O192" s="312">
        <f t="shared" si="120"/>
        <v>22482</v>
      </c>
      <c r="P192" s="312">
        <f t="shared" si="120"/>
        <v>0</v>
      </c>
      <c r="Q192" s="312">
        <f t="shared" si="120"/>
        <v>16653</v>
      </c>
      <c r="R192" s="312">
        <f t="shared" si="120"/>
        <v>0</v>
      </c>
      <c r="S192" s="312">
        <f t="shared" si="120"/>
        <v>52714</v>
      </c>
      <c r="T192" s="312">
        <f t="shared" si="120"/>
        <v>0</v>
      </c>
      <c r="U192" s="312">
        <f t="shared" si="120"/>
        <v>2114</v>
      </c>
      <c r="V192" s="312">
        <f t="shared" si="120"/>
        <v>0</v>
      </c>
      <c r="W192" s="312">
        <f t="shared" si="120"/>
        <v>1782304</v>
      </c>
      <c r="X192" s="312">
        <f t="shared" si="120"/>
        <v>0</v>
      </c>
      <c r="Y192" s="312">
        <f t="shared" si="120"/>
        <v>199169</v>
      </c>
      <c r="Z192" s="312">
        <f t="shared" si="120"/>
        <v>0</v>
      </c>
      <c r="AA192" s="312">
        <f t="shared" si="120"/>
        <v>15637</v>
      </c>
      <c r="AB192" s="312">
        <f t="shared" si="120"/>
        <v>0</v>
      </c>
      <c r="AC192" s="312">
        <f t="shared" si="120"/>
        <v>9778</v>
      </c>
      <c r="AD192" s="312">
        <f t="shared" si="120"/>
        <v>0</v>
      </c>
      <c r="AE192" s="312">
        <f t="shared" si="120"/>
        <v>2151</v>
      </c>
      <c r="AF192" s="312">
        <f t="shared" si="120"/>
        <v>0</v>
      </c>
      <c r="AG192" s="312">
        <f t="shared" si="120"/>
        <v>2701</v>
      </c>
      <c r="AI192" s="208">
        <f>SUM(K192:AG192)-I192</f>
        <v>2</v>
      </c>
    </row>
    <row r="193" spans="1:41" ht="15.75">
      <c r="E193" s="654"/>
      <c r="F193" s="276"/>
      <c r="G193" s="325"/>
      <c r="H193" s="276"/>
      <c r="I193" s="666"/>
      <c r="J193" s="312"/>
      <c r="K193" s="312"/>
      <c r="L193" s="312"/>
      <c r="M193" s="312"/>
      <c r="N193" s="312"/>
      <c r="O193" s="312"/>
      <c r="P193" s="312"/>
      <c r="Q193" s="312"/>
      <c r="R193" s="312"/>
      <c r="S193" s="312"/>
      <c r="T193" s="312"/>
      <c r="U193" s="312"/>
      <c r="V193" s="312"/>
      <c r="W193" s="312"/>
      <c r="X193" s="312"/>
      <c r="Y193" s="312"/>
      <c r="Z193" s="312"/>
      <c r="AA193" s="312"/>
      <c r="AB193" s="312"/>
      <c r="AC193" s="312"/>
      <c r="AD193" s="312"/>
      <c r="AE193" s="312"/>
      <c r="AF193" s="312"/>
      <c r="AG193" s="312"/>
      <c r="AI193" s="208"/>
    </row>
    <row r="194" spans="1:41" ht="15.75">
      <c r="C194" s="521" t="s">
        <v>671</v>
      </c>
      <c r="E194" s="654"/>
      <c r="F194" s="276"/>
      <c r="G194" s="325"/>
      <c r="H194" s="276"/>
      <c r="I194" s="666"/>
      <c r="J194" s="312"/>
      <c r="K194" s="312"/>
      <c r="L194" s="312"/>
      <c r="M194" s="312"/>
      <c r="N194" s="312"/>
      <c r="O194" s="312"/>
      <c r="P194" s="312"/>
      <c r="Q194" s="312"/>
      <c r="R194" s="312"/>
      <c r="S194" s="312"/>
      <c r="T194" s="312"/>
      <c r="U194" s="312"/>
      <c r="V194" s="312"/>
      <c r="W194" s="312"/>
      <c r="X194" s="312"/>
      <c r="Y194" s="312"/>
      <c r="Z194" s="312"/>
      <c r="AA194" s="312"/>
      <c r="AB194" s="312"/>
      <c r="AC194" s="312"/>
      <c r="AD194" s="312"/>
      <c r="AE194" s="312"/>
      <c r="AF194" s="312"/>
      <c r="AG194" s="312"/>
      <c r="AI194" s="208"/>
    </row>
    <row r="195" spans="1:41" ht="15.75">
      <c r="C195" s="548">
        <v>390.1</v>
      </c>
      <c r="E195" s="520" t="s">
        <v>495</v>
      </c>
      <c r="F195" s="276"/>
      <c r="G195" s="325">
        <v>12</v>
      </c>
      <c r="H195" s="276"/>
      <c r="I195" s="326">
        <f>ROUND(+Linkin!H210*0.2749,0)</f>
        <v>18908</v>
      </c>
      <c r="J195" s="312"/>
      <c r="K195" s="213">
        <f>ROUND(VLOOKUP($G195,factors,+K$318)*$I195,0)</f>
        <v>4043</v>
      </c>
      <c r="M195" s="207">
        <f>ROUND(VLOOKUP($G195,factors,+M$318)*$I195,0)</f>
        <v>1530</v>
      </c>
      <c r="N195" s="207"/>
      <c r="O195" s="207">
        <f>ROUND(VLOOKUP($G195,factors,+O$318)*$I195,0)</f>
        <v>664</v>
      </c>
      <c r="P195" s="207"/>
      <c r="Q195" s="207">
        <f>ROUND(VLOOKUP($G195,factors,+Q$318)*$I195,0)</f>
        <v>492</v>
      </c>
      <c r="R195" s="207"/>
      <c r="S195" s="206">
        <f>ROUND(VLOOKUP($G195,factors,+S$318)*$I195,0)</f>
        <v>1556</v>
      </c>
      <c r="T195" s="206"/>
      <c r="U195" s="206">
        <f>ROUND(VLOOKUP($G195,factors,+U$318)*$I195,0)</f>
        <v>62</v>
      </c>
      <c r="V195" s="206"/>
      <c r="W195" s="206">
        <f>ROUND(VLOOKUP($G195,factors,+W$318)*$I195,0)</f>
        <v>8662</v>
      </c>
      <c r="X195" s="206"/>
      <c r="Y195" s="206">
        <f>ROUND(VLOOKUP($G195,factors,+Y$318)*$I195,0)</f>
        <v>1187</v>
      </c>
      <c r="Z195" s="206"/>
      <c r="AA195" s="206">
        <f>ROUND(VLOOKUP($G195,factors,+AA$318)*$I195,0)</f>
        <v>335</v>
      </c>
      <c r="AB195" s="206"/>
      <c r="AC195" s="207">
        <f>ROUND(VLOOKUP($G195,factors,+AC$318)*$I195,0)</f>
        <v>250</v>
      </c>
      <c r="AD195" s="206"/>
      <c r="AE195" s="207">
        <f>ROUND(VLOOKUP($G195,factors,+AE$318)*$I195,0)</f>
        <v>59</v>
      </c>
      <c r="AF195" s="206"/>
      <c r="AG195" s="207">
        <f>ROUND(VLOOKUP($G195,factors,+AG$318)*$I195,0)</f>
        <v>70</v>
      </c>
      <c r="AI195" s="208">
        <f>SUM(K195:AG195)-I195</f>
        <v>2</v>
      </c>
    </row>
    <row r="196" spans="1:41" ht="15.75">
      <c r="E196" s="654"/>
      <c r="F196" s="276"/>
      <c r="G196" s="325"/>
      <c r="H196" s="276"/>
      <c r="I196" s="666"/>
      <c r="J196" s="312"/>
      <c r="K196" s="312"/>
      <c r="L196" s="312"/>
      <c r="M196" s="312"/>
      <c r="N196" s="312"/>
      <c r="O196" s="312"/>
      <c r="P196" s="312"/>
      <c r="Q196" s="312"/>
      <c r="R196" s="312"/>
      <c r="S196" s="312"/>
      <c r="T196" s="312"/>
      <c r="U196" s="312"/>
      <c r="V196" s="312"/>
      <c r="W196" s="312"/>
      <c r="X196" s="312"/>
      <c r="Y196" s="312"/>
      <c r="Z196" s="312"/>
      <c r="AA196" s="312"/>
      <c r="AB196" s="312"/>
      <c r="AC196" s="312"/>
      <c r="AD196" s="312"/>
      <c r="AE196" s="312"/>
      <c r="AF196" s="312"/>
      <c r="AG196" s="312"/>
      <c r="AI196" s="208"/>
    </row>
    <row r="197" spans="1:41" ht="15.75">
      <c r="C197" s="34" t="s">
        <v>571</v>
      </c>
      <c r="E197" s="654"/>
      <c r="F197" s="276"/>
      <c r="G197" s="325"/>
      <c r="H197" s="276"/>
      <c r="I197" s="666"/>
      <c r="J197" s="312"/>
      <c r="K197" s="312"/>
      <c r="L197" s="312"/>
      <c r="M197" s="312"/>
      <c r="N197" s="312"/>
      <c r="O197" s="312"/>
      <c r="P197" s="312"/>
      <c r="Q197" s="312"/>
      <c r="R197" s="312"/>
      <c r="S197" s="312"/>
      <c r="T197" s="312"/>
      <c r="U197" s="312"/>
      <c r="V197" s="312"/>
      <c r="W197" s="312"/>
      <c r="X197" s="312"/>
      <c r="Y197" s="312"/>
      <c r="Z197" s="312"/>
      <c r="AA197" s="312"/>
      <c r="AB197" s="312"/>
      <c r="AC197" s="312"/>
      <c r="AD197" s="312"/>
      <c r="AE197" s="312"/>
      <c r="AF197" s="312"/>
      <c r="AG197" s="312"/>
      <c r="AI197" s="208"/>
    </row>
    <row r="198" spans="1:41" ht="15.75">
      <c r="C198" s="34"/>
      <c r="E198" s="324" t="s">
        <v>572</v>
      </c>
      <c r="F198" s="276"/>
      <c r="G198" s="325">
        <v>12</v>
      </c>
      <c r="H198" s="276"/>
      <c r="I198" s="326">
        <f>+Linkin!H225</f>
        <v>-1141000</v>
      </c>
      <c r="J198" s="326"/>
      <c r="K198" s="213">
        <f>ROUND(VLOOKUP($G198,factors,+K$318)*$I198,0)</f>
        <v>-243946</v>
      </c>
      <c r="M198" s="207">
        <f>ROUND(VLOOKUP($G198,factors,+M$318)*$I198,0)</f>
        <v>-92307</v>
      </c>
      <c r="N198" s="207"/>
      <c r="O198" s="207">
        <f>ROUND(VLOOKUP($G198,factors,+O$318)*$I198,0)</f>
        <v>-40049</v>
      </c>
      <c r="P198" s="207"/>
      <c r="Q198" s="207">
        <f>ROUND(VLOOKUP($G198,factors,+Q$318)*$I198,0)</f>
        <v>-29666</v>
      </c>
      <c r="R198" s="207"/>
      <c r="S198" s="206">
        <f>ROUND(VLOOKUP($G198,factors,+S$318)*$I198,0)</f>
        <v>-93904</v>
      </c>
      <c r="T198" s="206"/>
      <c r="U198" s="206">
        <f>ROUND(VLOOKUP($G198,factors,+U$318)*$I198,0)</f>
        <v>-3765</v>
      </c>
      <c r="V198" s="206"/>
      <c r="W198" s="206">
        <f>ROUND(VLOOKUP($G198,factors,+W$318)*$I198,0)</f>
        <v>-522692</v>
      </c>
      <c r="X198" s="206"/>
      <c r="Y198" s="206">
        <f>ROUND(VLOOKUP($G198,factors,+Y$318)*$I198,0)</f>
        <v>-71655</v>
      </c>
      <c r="Z198" s="206"/>
      <c r="AA198" s="206">
        <f>ROUND(VLOOKUP($G198,factors,+AA$318)*$I198,0)</f>
        <v>-20196</v>
      </c>
      <c r="AB198" s="206"/>
      <c r="AC198" s="207">
        <f>ROUND(VLOOKUP($G198,factors,+AC$318)*$I198,0)</f>
        <v>-15061</v>
      </c>
      <c r="AD198" s="206"/>
      <c r="AE198" s="207">
        <f>ROUND(VLOOKUP($G198,factors,+AE$318)*$I198,0)</f>
        <v>-3537</v>
      </c>
      <c r="AF198" s="206"/>
      <c r="AG198" s="207">
        <f>ROUND(VLOOKUP($G198,factors,+AG$318)*$I198,0)</f>
        <v>-4222</v>
      </c>
      <c r="AI198" s="208">
        <f>SUM(K198:AG198)-I198</f>
        <v>0</v>
      </c>
    </row>
    <row r="199" spans="1:41" ht="15.75">
      <c r="C199" s="548">
        <v>390.1</v>
      </c>
      <c r="E199" s="324" t="s">
        <v>672</v>
      </c>
      <c r="F199" s="276"/>
      <c r="G199" s="325">
        <v>12</v>
      </c>
      <c r="H199" s="276"/>
      <c r="I199" s="664">
        <f>ROUND(-Linkin!H215*0.1304,0)</f>
        <v>-48691</v>
      </c>
      <c r="J199" s="95"/>
      <c r="K199" s="562">
        <f>ROUND(VLOOKUP($G199,factors,+K$318)*$I199,0)</f>
        <v>-10410</v>
      </c>
      <c r="L199" s="95"/>
      <c r="M199" s="562">
        <f>ROUND(VLOOKUP($G199,factors,+M$318)*$I199,0)</f>
        <v>-3939</v>
      </c>
      <c r="N199" s="229"/>
      <c r="O199" s="562">
        <f>ROUND(VLOOKUP($G199,factors,+O$318)*$I199,0)</f>
        <v>-1709</v>
      </c>
      <c r="P199" s="563"/>
      <c r="Q199" s="562">
        <f>ROUND(VLOOKUP($G199,factors,+Q$318)*$I199,0)</f>
        <v>-1266</v>
      </c>
      <c r="R199" s="229"/>
      <c r="S199" s="299">
        <f>ROUND(VLOOKUP($G199,factors,+S$318)*$I199,0)</f>
        <v>-4007</v>
      </c>
      <c r="T199" s="300"/>
      <c r="U199" s="299">
        <f>ROUND(VLOOKUP($G199,factors,+U$318)*$I199,0)</f>
        <v>-161</v>
      </c>
      <c r="V199" s="95"/>
      <c r="W199" s="562">
        <f>ROUND(VLOOKUP($G199,factors,+W$318)*$I199,0)</f>
        <v>-22305</v>
      </c>
      <c r="X199" s="229"/>
      <c r="Y199" s="562">
        <f>ROUND(VLOOKUP($G199,factors,+Y$318)*$I199,0)</f>
        <v>-3058</v>
      </c>
      <c r="Z199" s="198"/>
      <c r="AA199" s="299">
        <f>ROUND(VLOOKUP($G199,factors,+AA$318)*$I199,0)</f>
        <v>-862</v>
      </c>
      <c r="AB199" s="300"/>
      <c r="AC199" s="562">
        <f>ROUND(VLOOKUP($G199,factors,+AC$318)*$I199,0)</f>
        <v>-643</v>
      </c>
      <c r="AD199" s="95"/>
      <c r="AE199" s="562">
        <f>ROUND(VLOOKUP($G199,factors,+AE$318)*$I199,0)</f>
        <v>-151</v>
      </c>
      <c r="AF199" s="95"/>
      <c r="AG199" s="562">
        <f>ROUND(VLOOKUP($G199,factors,+AG$318)*$I199,0)</f>
        <v>-180</v>
      </c>
      <c r="AH199" s="34"/>
      <c r="AI199" s="549">
        <f>SUM(K199:AG199)-I199</f>
        <v>0</v>
      </c>
      <c r="AJ199" s="34"/>
    </row>
    <row r="200" spans="1:41">
      <c r="E200" s="276"/>
      <c r="F200" s="276"/>
      <c r="G200" s="325"/>
      <c r="H200" s="276"/>
      <c r="I200" s="361"/>
      <c r="K200" s="206"/>
      <c r="M200" s="206"/>
      <c r="O200" s="206"/>
      <c r="P200" s="206"/>
      <c r="Q200" s="206"/>
      <c r="S200" s="206"/>
      <c r="T200" s="206"/>
      <c r="U200" s="206"/>
      <c r="W200" s="206"/>
      <c r="Y200" s="206"/>
      <c r="Z200" s="206"/>
      <c r="AA200" s="206"/>
      <c r="AB200" s="206"/>
      <c r="AC200" s="206"/>
      <c r="AE200" s="206"/>
      <c r="AG200" s="206"/>
      <c r="AI200" s="208"/>
    </row>
    <row r="201" spans="1:41" ht="15.75">
      <c r="B201" s="205"/>
      <c r="E201" s="654" t="s">
        <v>443</v>
      </c>
      <c r="F201" s="654"/>
      <c r="G201" s="655"/>
      <c r="H201" s="654"/>
      <c r="I201" s="656">
        <f>+I169+I181+I187+I192+I195+I198+I199</f>
        <v>22652932</v>
      </c>
      <c r="J201" s="656"/>
      <c r="K201" s="656">
        <f t="shared" ref="K201:AG201" si="121">+K169+K181+K187+K192+K195+K198+K199</f>
        <v>5381172</v>
      </c>
      <c r="L201" s="656"/>
      <c r="M201" s="656">
        <f t="shared" si="121"/>
        <v>2225716</v>
      </c>
      <c r="N201" s="656"/>
      <c r="O201" s="656">
        <f t="shared" si="121"/>
        <v>975457</v>
      </c>
      <c r="P201" s="656"/>
      <c r="Q201" s="656">
        <f t="shared" si="121"/>
        <v>724448</v>
      </c>
      <c r="R201" s="656"/>
      <c r="S201" s="656">
        <f t="shared" si="121"/>
        <v>1622693.3886712999</v>
      </c>
      <c r="T201" s="656"/>
      <c r="U201" s="656">
        <f t="shared" si="121"/>
        <v>90914</v>
      </c>
      <c r="V201" s="656"/>
      <c r="W201" s="656">
        <f t="shared" si="121"/>
        <v>9192636</v>
      </c>
      <c r="X201" s="656"/>
      <c r="Y201" s="656">
        <f t="shared" si="121"/>
        <v>1673694</v>
      </c>
      <c r="Z201" s="656"/>
      <c r="AA201" s="656">
        <f t="shared" si="121"/>
        <v>345896</v>
      </c>
      <c r="AB201" s="656"/>
      <c r="AC201" s="656">
        <f t="shared" si="121"/>
        <v>281794</v>
      </c>
      <c r="AD201" s="656"/>
      <c r="AE201" s="656">
        <f t="shared" si="121"/>
        <v>61598</v>
      </c>
      <c r="AF201" s="656"/>
      <c r="AG201" s="656">
        <f t="shared" si="121"/>
        <v>76912</v>
      </c>
      <c r="AH201" s="34"/>
      <c r="AI201" s="208">
        <f>SUM(K201:AG201)-I201</f>
        <v>-1.611328698694706</v>
      </c>
    </row>
    <row r="202" spans="1:41" s="54" customFormat="1" ht="15.75">
      <c r="A202" s="200"/>
      <c r="B202" s="200"/>
      <c r="C202" s="200"/>
      <c r="D202" s="200"/>
      <c r="E202" s="658"/>
      <c r="F202" s="276"/>
      <c r="G202" s="325"/>
      <c r="H202" s="276"/>
      <c r="I202" s="361"/>
      <c r="J202" s="200"/>
      <c r="K202" s="207"/>
      <c r="L202" s="200"/>
      <c r="M202" s="207"/>
      <c r="N202" s="207"/>
      <c r="O202" s="207"/>
      <c r="P202" s="207"/>
      <c r="Q202" s="207"/>
      <c r="R202" s="207"/>
      <c r="S202" s="206"/>
      <c r="T202" s="206"/>
      <c r="U202" s="206"/>
      <c r="V202" s="200"/>
      <c r="W202" s="207"/>
      <c r="X202" s="207"/>
      <c r="Y202" s="207"/>
      <c r="Z202" s="206"/>
      <c r="AA202" s="206"/>
      <c r="AB202" s="206"/>
      <c r="AC202" s="207"/>
      <c r="AD202" s="200"/>
      <c r="AE202" s="207"/>
      <c r="AF202" s="200"/>
      <c r="AG202" s="207"/>
      <c r="AH202" s="207"/>
      <c r="AI202" s="208"/>
      <c r="AJ202" s="200"/>
      <c r="AK202" s="200"/>
    </row>
    <row r="203" spans="1:41">
      <c r="E203" s="276"/>
      <c r="F203" s="276"/>
      <c r="G203" s="325"/>
      <c r="H203" s="276"/>
      <c r="I203" s="361"/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D203" s="206"/>
      <c r="AF203" s="206"/>
      <c r="AI203" s="208">
        <f t="shared" ref="AI203:AI224" si="122">SUM(K203:AG203)-I203</f>
        <v>0</v>
      </c>
    </row>
    <row r="204" spans="1:41" ht="15.75">
      <c r="B204" s="216"/>
      <c r="C204" s="34" t="s">
        <v>248</v>
      </c>
      <c r="E204" s="276"/>
      <c r="F204" s="276"/>
      <c r="G204" s="325"/>
      <c r="H204" s="276"/>
      <c r="I204" s="361"/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D204" s="206"/>
      <c r="AF204" s="206"/>
      <c r="AI204" s="208">
        <f t="shared" si="122"/>
        <v>0</v>
      </c>
    </row>
    <row r="205" spans="1:41">
      <c r="B205" s="216">
        <f>+Linkin!J201</f>
        <v>0</v>
      </c>
      <c r="C205" s="502">
        <v>408.1</v>
      </c>
      <c r="E205" s="276" t="s">
        <v>302</v>
      </c>
      <c r="F205" s="276"/>
      <c r="G205" s="325">
        <v>15</v>
      </c>
      <c r="H205" s="276"/>
      <c r="I205" s="483">
        <f>+Linkin!H126</f>
        <v>0</v>
      </c>
      <c r="K205" s="207">
        <f>ROUND(VLOOKUP($G205,factors,+K$318)*$I205,0)</f>
        <v>0</v>
      </c>
      <c r="M205" s="207">
        <f t="shared" ref="M205:M210" si="123">ROUND(VLOOKUP($G205,factors,+M$318)*$I205,0)</f>
        <v>0</v>
      </c>
      <c r="N205" s="207"/>
      <c r="O205" s="207">
        <f t="shared" ref="O205:O210" si="124">ROUND(VLOOKUP($G205,factors,+O$318)*$I205,0)</f>
        <v>0</v>
      </c>
      <c r="P205" s="207"/>
      <c r="Q205" s="207">
        <f t="shared" ref="Q205:Q210" si="125">ROUND(VLOOKUP($G205,factors,+Q$318)*$I205,0)</f>
        <v>0</v>
      </c>
      <c r="R205" s="207"/>
      <c r="S205" s="206">
        <f t="shared" ref="S205:S210" si="126">ROUND(VLOOKUP($G205,factors,+S$318)*$I205,0)</f>
        <v>0</v>
      </c>
      <c r="T205" s="206"/>
      <c r="U205" s="206">
        <f t="shared" ref="U205:U210" si="127">ROUND(VLOOKUP($G205,factors,+U$318)*$I205,0)</f>
        <v>0</v>
      </c>
      <c r="V205" s="206"/>
      <c r="W205" s="206">
        <f t="shared" ref="W205:W210" si="128">ROUND(VLOOKUP($G205,factors,+W$318)*$I205,0)</f>
        <v>0</v>
      </c>
      <c r="X205" s="206"/>
      <c r="Y205" s="206">
        <f t="shared" ref="Y205:Y210" si="129">ROUND(VLOOKUP($G205,factors,+Y$318)*$I205,0)</f>
        <v>0</v>
      </c>
      <c r="Z205" s="206"/>
      <c r="AA205" s="206">
        <f t="shared" ref="AA205:AA210" si="130">ROUND(VLOOKUP($G205,factors,+AA$318)*$I205,0)</f>
        <v>0</v>
      </c>
      <c r="AB205" s="206"/>
      <c r="AC205" s="207">
        <f t="shared" ref="AC205:AC210" si="131">ROUND(VLOOKUP($G205,factors,+AC$318)*$I205,0)</f>
        <v>0</v>
      </c>
      <c r="AD205" s="206"/>
      <c r="AE205" s="207">
        <f t="shared" ref="AE205:AE210" si="132">ROUND(VLOOKUP($G205,factors,+AE$318)*$I205,0)</f>
        <v>0</v>
      </c>
      <c r="AF205" s="206"/>
      <c r="AG205" s="207">
        <f t="shared" ref="AG205:AG210" si="133">ROUND(VLOOKUP($G205,factors,+AG$318)*$I205,0)</f>
        <v>0</v>
      </c>
      <c r="AI205" s="208">
        <f t="shared" si="122"/>
        <v>0</v>
      </c>
    </row>
    <row r="206" spans="1:41">
      <c r="B206" s="216">
        <f>+Linkin!J203</f>
        <v>0</v>
      </c>
      <c r="C206" s="502">
        <v>408.1</v>
      </c>
      <c r="E206" s="276" t="s">
        <v>389</v>
      </c>
      <c r="F206" s="276"/>
      <c r="G206" s="325">
        <v>16</v>
      </c>
      <c r="H206" s="276"/>
      <c r="I206" s="483">
        <f>+Linkin!H127</f>
        <v>122000</v>
      </c>
      <c r="K206" s="207">
        <f>ROUND(VLOOKUP($G206,factors,+K$318)*$I206,0)-1</f>
        <v>32134</v>
      </c>
      <c r="M206" s="207">
        <f t="shared" si="123"/>
        <v>12761</v>
      </c>
      <c r="N206" s="207"/>
      <c r="O206" s="207">
        <f t="shared" si="124"/>
        <v>5417</v>
      </c>
      <c r="P206" s="207"/>
      <c r="Q206" s="207">
        <f t="shared" si="125"/>
        <v>4014</v>
      </c>
      <c r="R206" s="207"/>
      <c r="S206" s="206">
        <f t="shared" si="126"/>
        <v>10004</v>
      </c>
      <c r="T206" s="206"/>
      <c r="U206" s="206">
        <f t="shared" si="127"/>
        <v>500</v>
      </c>
      <c r="V206" s="206"/>
      <c r="W206" s="206">
        <f t="shared" si="128"/>
        <v>45921</v>
      </c>
      <c r="X206" s="206"/>
      <c r="Y206" s="206">
        <f t="shared" si="129"/>
        <v>7283</v>
      </c>
      <c r="Z206" s="206"/>
      <c r="AA206" s="206">
        <f t="shared" si="130"/>
        <v>1720</v>
      </c>
      <c r="AB206" s="206"/>
      <c r="AC206" s="207">
        <f t="shared" si="131"/>
        <v>1476</v>
      </c>
      <c r="AD206" s="206"/>
      <c r="AE206" s="207">
        <f t="shared" si="132"/>
        <v>354</v>
      </c>
      <c r="AF206" s="206"/>
      <c r="AG206" s="207">
        <f t="shared" si="133"/>
        <v>415</v>
      </c>
      <c r="AI206" s="208">
        <f t="shared" si="122"/>
        <v>-1</v>
      </c>
    </row>
    <row r="207" spans="1:41" s="54" customFormat="1">
      <c r="A207" s="200"/>
      <c r="B207" s="216">
        <f>+Linkin!J202</f>
        <v>0</v>
      </c>
      <c r="C207" s="502">
        <v>408.1</v>
      </c>
      <c r="D207" s="200"/>
      <c r="E207" s="276" t="s">
        <v>303</v>
      </c>
      <c r="F207" s="276"/>
      <c r="G207" s="325">
        <v>13</v>
      </c>
      <c r="H207" s="276"/>
      <c r="I207" s="483">
        <f>+Linkin!H128+Linkin!H129+Linkin!H130</f>
        <v>1613000</v>
      </c>
      <c r="J207" s="200"/>
      <c r="K207" s="207">
        <f>ROUND(VLOOKUP($G207,factors,+K$318)*$I207,0)</f>
        <v>310664</v>
      </c>
      <c r="L207" s="200"/>
      <c r="M207" s="207">
        <f t="shared" si="123"/>
        <v>125653</v>
      </c>
      <c r="N207" s="207"/>
      <c r="O207" s="207">
        <f t="shared" si="124"/>
        <v>54681</v>
      </c>
      <c r="P207" s="207"/>
      <c r="Q207" s="207">
        <f t="shared" si="125"/>
        <v>40486</v>
      </c>
      <c r="R207" s="207"/>
      <c r="S207" s="206">
        <f t="shared" si="126"/>
        <v>131137</v>
      </c>
      <c r="T207" s="206"/>
      <c r="U207" s="206">
        <f t="shared" si="127"/>
        <v>5162</v>
      </c>
      <c r="V207" s="206"/>
      <c r="W207" s="206">
        <f t="shared" si="128"/>
        <v>713269</v>
      </c>
      <c r="X207" s="206"/>
      <c r="Y207" s="206">
        <f t="shared" si="129"/>
        <v>134040</v>
      </c>
      <c r="Z207" s="206"/>
      <c r="AA207" s="206">
        <f t="shared" si="130"/>
        <v>38389</v>
      </c>
      <c r="AB207" s="206"/>
      <c r="AC207" s="207">
        <f t="shared" si="131"/>
        <v>39035</v>
      </c>
      <c r="AD207" s="206"/>
      <c r="AE207" s="207">
        <f t="shared" si="132"/>
        <v>9517</v>
      </c>
      <c r="AF207" s="206"/>
      <c r="AG207" s="207">
        <f t="shared" si="133"/>
        <v>10968</v>
      </c>
      <c r="AH207" s="200"/>
      <c r="AI207" s="208">
        <f t="shared" si="122"/>
        <v>1</v>
      </c>
      <c r="AJ207" s="200"/>
      <c r="AK207" s="200"/>
      <c r="AL207"/>
      <c r="AM207"/>
      <c r="AN207"/>
      <c r="AO207"/>
    </row>
    <row r="208" spans="1:41" s="54" customFormat="1">
      <c r="A208" s="200"/>
      <c r="B208" s="216"/>
      <c r="C208" s="502">
        <v>408.1</v>
      </c>
      <c r="D208" s="200"/>
      <c r="E208" s="276" t="s">
        <v>390</v>
      </c>
      <c r="F208" s="276"/>
      <c r="G208" s="325">
        <v>16</v>
      </c>
      <c r="H208" s="276"/>
      <c r="I208" s="483">
        <f>+Linkin!H131</f>
        <v>935000</v>
      </c>
      <c r="J208" s="200"/>
      <c r="K208" s="207">
        <f>ROUND(VLOOKUP($G208,factors,+K$318)*$I208,0)</f>
        <v>246279</v>
      </c>
      <c r="L208" s="200"/>
      <c r="M208" s="207">
        <f t="shared" si="123"/>
        <v>97801</v>
      </c>
      <c r="N208" s="207"/>
      <c r="O208" s="207">
        <f t="shared" si="124"/>
        <v>41514</v>
      </c>
      <c r="P208" s="207"/>
      <c r="Q208" s="207">
        <f t="shared" si="125"/>
        <v>30762</v>
      </c>
      <c r="R208" s="207"/>
      <c r="S208" s="206">
        <f t="shared" si="126"/>
        <v>76670</v>
      </c>
      <c r="T208" s="206"/>
      <c r="U208" s="206">
        <f t="shared" si="127"/>
        <v>3834</v>
      </c>
      <c r="V208" s="206"/>
      <c r="W208" s="206">
        <f t="shared" si="128"/>
        <v>351934</v>
      </c>
      <c r="X208" s="206"/>
      <c r="Y208" s="206">
        <f t="shared" si="129"/>
        <v>55820</v>
      </c>
      <c r="Z208" s="206"/>
      <c r="AA208" s="206">
        <f t="shared" si="130"/>
        <v>13184</v>
      </c>
      <c r="AB208" s="206"/>
      <c r="AC208" s="207">
        <f t="shared" si="131"/>
        <v>11314</v>
      </c>
      <c r="AD208" s="206"/>
      <c r="AE208" s="207">
        <f t="shared" si="132"/>
        <v>2712</v>
      </c>
      <c r="AF208" s="206"/>
      <c r="AG208" s="207">
        <f t="shared" si="133"/>
        <v>3179</v>
      </c>
      <c r="AH208" s="200"/>
      <c r="AI208" s="208">
        <f t="shared" si="122"/>
        <v>3</v>
      </c>
      <c r="AJ208" s="200"/>
      <c r="AK208" s="200"/>
      <c r="AL208"/>
      <c r="AM208"/>
      <c r="AN208"/>
      <c r="AO208"/>
    </row>
    <row r="209" spans="1:37" s="36" customFormat="1">
      <c r="A209" s="201"/>
      <c r="B209" s="360">
        <f>+Linkin!J200</f>
        <v>0</v>
      </c>
      <c r="C209" s="503">
        <v>408.1</v>
      </c>
      <c r="D209" s="201"/>
      <c r="E209" s="308" t="s">
        <v>304</v>
      </c>
      <c r="F209" s="308"/>
      <c r="G209" s="481">
        <v>15</v>
      </c>
      <c r="H209" s="308"/>
      <c r="I209" s="483">
        <f>+Linkin!H125</f>
        <v>132000</v>
      </c>
      <c r="J209" s="201"/>
      <c r="K209" s="214">
        <f>ROUND(VLOOKUP($G209,factors,+K$318)*$I209,0)</f>
        <v>41620</v>
      </c>
      <c r="L209" s="201"/>
      <c r="M209" s="213">
        <f t="shared" si="123"/>
        <v>17173</v>
      </c>
      <c r="N209" s="213"/>
      <c r="O209" s="213">
        <f t="shared" si="124"/>
        <v>7366</v>
      </c>
      <c r="P209" s="213"/>
      <c r="Q209" s="213">
        <f t="shared" si="125"/>
        <v>5465</v>
      </c>
      <c r="R209" s="213"/>
      <c r="S209" s="213">
        <f t="shared" si="126"/>
        <v>11471</v>
      </c>
      <c r="T209" s="213"/>
      <c r="U209" s="206">
        <f t="shared" si="127"/>
        <v>686</v>
      </c>
      <c r="V209" s="213"/>
      <c r="W209" s="213">
        <f t="shared" si="128"/>
        <v>38174</v>
      </c>
      <c r="X209" s="213"/>
      <c r="Y209" s="213">
        <f t="shared" si="129"/>
        <v>6732</v>
      </c>
      <c r="Z209" s="213"/>
      <c r="AA209" s="213">
        <f t="shared" si="130"/>
        <v>1280</v>
      </c>
      <c r="AB209" s="213"/>
      <c r="AC209" s="213">
        <f t="shared" si="131"/>
        <v>1333</v>
      </c>
      <c r="AD209" s="213"/>
      <c r="AE209" s="213">
        <f t="shared" si="132"/>
        <v>330</v>
      </c>
      <c r="AF209" s="213"/>
      <c r="AG209" s="213">
        <f t="shared" si="133"/>
        <v>370</v>
      </c>
      <c r="AH209" s="213"/>
      <c r="AI209" s="208">
        <f t="shared" si="122"/>
        <v>0</v>
      </c>
      <c r="AJ209" s="201"/>
      <c r="AK209" s="201"/>
    </row>
    <row r="210" spans="1:37">
      <c r="B210" s="216"/>
      <c r="C210" s="504">
        <v>408.1</v>
      </c>
      <c r="D210" s="308"/>
      <c r="E210" s="308" t="s">
        <v>420</v>
      </c>
      <c r="F210" s="276"/>
      <c r="G210" s="325">
        <v>16</v>
      </c>
      <c r="H210" s="276"/>
      <c r="I210" s="479">
        <v>0</v>
      </c>
      <c r="J210" s="276"/>
      <c r="K210" s="479">
        <f>ROUND(VLOOKUP($G210,factors,+K$318)*$I210,0)</f>
        <v>0</v>
      </c>
      <c r="L210" s="308"/>
      <c r="M210" s="212">
        <f t="shared" si="123"/>
        <v>0</v>
      </c>
      <c r="N210" s="207"/>
      <c r="O210" s="212">
        <f t="shared" si="124"/>
        <v>0</v>
      </c>
      <c r="P210" s="213"/>
      <c r="Q210" s="212">
        <f t="shared" si="125"/>
        <v>0</v>
      </c>
      <c r="R210" s="207"/>
      <c r="S210" s="211">
        <f t="shared" si="126"/>
        <v>0</v>
      </c>
      <c r="T210" s="214"/>
      <c r="U210" s="211">
        <f t="shared" si="127"/>
        <v>0</v>
      </c>
      <c r="W210" s="212">
        <f t="shared" si="128"/>
        <v>0</v>
      </c>
      <c r="X210" s="207"/>
      <c r="Y210" s="212">
        <f t="shared" si="129"/>
        <v>0</v>
      </c>
      <c r="Z210" s="206"/>
      <c r="AA210" s="211">
        <f t="shared" si="130"/>
        <v>0</v>
      </c>
      <c r="AB210" s="214"/>
      <c r="AC210" s="212">
        <f t="shared" si="131"/>
        <v>0</v>
      </c>
      <c r="AE210" s="212">
        <f t="shared" si="132"/>
        <v>0</v>
      </c>
      <c r="AG210" s="212">
        <f t="shared" si="133"/>
        <v>0</v>
      </c>
      <c r="AH210" s="213"/>
      <c r="AI210" s="208">
        <f t="shared" si="122"/>
        <v>0</v>
      </c>
    </row>
    <row r="211" spans="1:37" ht="15.75">
      <c r="B211" s="216"/>
      <c r="E211" s="654" t="s">
        <v>245</v>
      </c>
      <c r="F211" s="654"/>
      <c r="G211" s="655"/>
      <c r="H211" s="654"/>
      <c r="I211" s="656">
        <f>SUM(I205:I210)</f>
        <v>2802000</v>
      </c>
      <c r="J211" s="34"/>
      <c r="K211" s="46">
        <f t="shared" ref="K211" si="134">SUM(K205:K210)</f>
        <v>630697</v>
      </c>
      <c r="L211" s="34"/>
      <c r="M211" s="46">
        <f t="shared" ref="M211" si="135">SUM(M205:M210)</f>
        <v>253388</v>
      </c>
      <c r="N211" s="34"/>
      <c r="O211" s="46">
        <f t="shared" ref="O211" si="136">SUM(O205:O210)</f>
        <v>108978</v>
      </c>
      <c r="P211" s="34"/>
      <c r="Q211" s="46">
        <f t="shared" ref="Q211" si="137">SUM(Q205:Q210)</f>
        <v>80727</v>
      </c>
      <c r="R211" s="34"/>
      <c r="S211" s="46">
        <f t="shared" ref="S211:U211" si="138">SUM(S205:S210)</f>
        <v>229282</v>
      </c>
      <c r="T211" s="55"/>
      <c r="U211" s="46">
        <f t="shared" si="138"/>
        <v>10182</v>
      </c>
      <c r="V211" s="34"/>
      <c r="W211" s="46">
        <f t="shared" ref="W211" si="139">SUM(W205:W210)</f>
        <v>1149298</v>
      </c>
      <c r="X211" s="34"/>
      <c r="Y211" s="46">
        <f t="shared" ref="Y211" si="140">SUM(Y205:Y210)</f>
        <v>203875</v>
      </c>
      <c r="Z211" s="34"/>
      <c r="AA211" s="46">
        <f t="shared" ref="AA211" si="141">SUM(AA205:AA210)</f>
        <v>54573</v>
      </c>
      <c r="AB211" s="34"/>
      <c r="AC211" s="46">
        <f t="shared" ref="AC211:AG211" si="142">SUM(AC205:AC210)</f>
        <v>53158</v>
      </c>
      <c r="AD211" s="34"/>
      <c r="AE211" s="46">
        <f t="shared" si="142"/>
        <v>12913</v>
      </c>
      <c r="AF211" s="34"/>
      <c r="AG211" s="46">
        <f t="shared" si="142"/>
        <v>14932</v>
      </c>
      <c r="AH211" s="34"/>
      <c r="AI211" s="208">
        <f t="shared" si="122"/>
        <v>3</v>
      </c>
    </row>
    <row r="212" spans="1:37">
      <c r="B212" s="206">
        <f>+I211+I147</f>
        <v>75729000</v>
      </c>
      <c r="E212" s="276"/>
      <c r="F212" s="276"/>
      <c r="G212" s="325"/>
      <c r="H212" s="276"/>
      <c r="I212" s="361"/>
      <c r="K212" s="206"/>
      <c r="M212" s="206"/>
      <c r="O212" s="206"/>
      <c r="P212" s="206"/>
      <c r="Q212" s="206"/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I212" s="208">
        <f t="shared" si="122"/>
        <v>0</v>
      </c>
    </row>
    <row r="213" spans="1:37" ht="15.75">
      <c r="E213" s="654" t="s">
        <v>246</v>
      </c>
      <c r="F213" s="654"/>
      <c r="G213" s="667"/>
      <c r="H213" s="654"/>
      <c r="I213" s="656">
        <f>+I211+I201+I147</f>
        <v>98381932</v>
      </c>
      <c r="J213" s="34"/>
      <c r="K213" s="46">
        <f>+K211+K201+K147+K202</f>
        <v>22361581</v>
      </c>
      <c r="L213" s="34"/>
      <c r="M213" s="46">
        <f>+M211+M201+M147+M202</f>
        <v>8543742</v>
      </c>
      <c r="N213" s="34"/>
      <c r="O213" s="46">
        <f>+O211+O201+O147+O202</f>
        <v>3588489</v>
      </c>
      <c r="P213" s="34"/>
      <c r="Q213" s="46">
        <f>+Q211+Q201+Q147+Q202</f>
        <v>2662675</v>
      </c>
      <c r="R213" s="34"/>
      <c r="S213" s="46">
        <f>+S211+S201+S147+S202</f>
        <v>7730380.3886712994</v>
      </c>
      <c r="T213" s="55"/>
      <c r="U213" s="46">
        <f>+U211+U201+U147+U202</f>
        <v>335604</v>
      </c>
      <c r="V213" s="34"/>
      <c r="W213" s="46">
        <f>+W211+W201+W147+W202</f>
        <v>42997163</v>
      </c>
      <c r="X213" s="34"/>
      <c r="Y213" s="46">
        <f>+Y211+Y201+Y147+Y202</f>
        <v>6462253</v>
      </c>
      <c r="Z213" s="34"/>
      <c r="AA213" s="46">
        <f>+AA211+AA201+AA147+AA202</f>
        <v>1692502</v>
      </c>
      <c r="AB213" s="34"/>
      <c r="AC213" s="46">
        <f>+AC211+AC201+AC147+AC202</f>
        <v>1329601</v>
      </c>
      <c r="AD213" s="34"/>
      <c r="AE213" s="46">
        <f>+AE211+AE201+AE147+AE202</f>
        <v>308687</v>
      </c>
      <c r="AF213" s="34"/>
      <c r="AG213" s="46">
        <f>+AG211+AG201+AG147+AG202</f>
        <v>369272</v>
      </c>
      <c r="AH213" s="34"/>
      <c r="AI213" s="208">
        <f t="shared" si="122"/>
        <v>17.388671308755875</v>
      </c>
    </row>
    <row r="214" spans="1:37" ht="15.75">
      <c r="A214" s="561" t="s">
        <v>573</v>
      </c>
      <c r="B214" s="561" t="s">
        <v>574</v>
      </c>
      <c r="E214" s="276"/>
      <c r="F214" s="276"/>
      <c r="G214" s="325"/>
      <c r="H214" s="276"/>
      <c r="I214" s="326"/>
      <c r="AI214" s="208">
        <f t="shared" si="122"/>
        <v>0</v>
      </c>
    </row>
    <row r="215" spans="1:37" ht="15.75">
      <c r="A215" s="206">
        <v>12709.193406883065</v>
      </c>
      <c r="B215" s="206">
        <v>21584</v>
      </c>
      <c r="C215" s="34" t="s">
        <v>249</v>
      </c>
      <c r="E215" s="276"/>
      <c r="F215" s="276"/>
      <c r="G215" s="325">
        <v>15</v>
      </c>
      <c r="H215" s="276"/>
      <c r="I215" s="326">
        <f>IF(ROR!C2=2,+B215*1000,A215*1000)</f>
        <v>21584000</v>
      </c>
      <c r="K215" s="207">
        <f>ROUND(VLOOKUP($G215,factors,+K$318)*$I215,0)+1</f>
        <v>6805436</v>
      </c>
      <c r="M215" s="207">
        <f>ROUND(VLOOKUP($G215,factors,+M$318)*$I215,0)</f>
        <v>2808078</v>
      </c>
      <c r="N215" s="207"/>
      <c r="O215" s="207">
        <f>ROUND(VLOOKUP($G215,factors,+O$318)*$I215,0)</f>
        <v>1204387</v>
      </c>
      <c r="P215" s="207"/>
      <c r="Q215" s="207">
        <f>ROUND(VLOOKUP($G215,factors,+Q$318)*$I215,0)</f>
        <v>893578</v>
      </c>
      <c r="R215" s="207"/>
      <c r="S215" s="207">
        <f>ROUND(VLOOKUP($G215,factors,+S$318)*$I215,0)</f>
        <v>1875650</v>
      </c>
      <c r="T215" s="207"/>
      <c r="U215" s="207">
        <f>ROUND(VLOOKUP($G215,factors,+U$318)*$I215,0)</f>
        <v>112237</v>
      </c>
      <c r="V215" s="207"/>
      <c r="W215" s="207">
        <f>ROUND(VLOOKUP($G215,factors,+W$318)*$I215,0)</f>
        <v>6242093</v>
      </c>
      <c r="X215" s="207"/>
      <c r="Y215" s="207">
        <f>ROUND(VLOOKUP($G215,factors,+Y$318)*$I215,0)</f>
        <v>1100784</v>
      </c>
      <c r="Z215" s="207"/>
      <c r="AA215" s="207">
        <f>ROUND(VLOOKUP($G215,factors,+AA$318)*$I215,0)</f>
        <v>209365</v>
      </c>
      <c r="AB215" s="207"/>
      <c r="AC215" s="207">
        <f>ROUND(VLOOKUP($G215,factors,+AC$318)*$I215,0)</f>
        <v>217998</v>
      </c>
      <c r="AD215" s="207"/>
      <c r="AE215" s="207">
        <f>ROUND(VLOOKUP($G215,factors,+AE$318)*$I215,0)</f>
        <v>53960</v>
      </c>
      <c r="AF215" s="207"/>
      <c r="AG215" s="207">
        <f>ROUND(VLOOKUP($G215,factors,+AG$318)*$I215,0)</f>
        <v>60435</v>
      </c>
      <c r="AI215" s="208">
        <f t="shared" si="122"/>
        <v>1</v>
      </c>
    </row>
    <row r="216" spans="1:37">
      <c r="A216" s="206"/>
      <c r="B216" s="206"/>
      <c r="E216" s="276"/>
      <c r="F216" s="276"/>
      <c r="G216" s="325"/>
      <c r="H216" s="276"/>
      <c r="I216" s="326"/>
      <c r="AI216" s="208">
        <f t="shared" si="122"/>
        <v>0</v>
      </c>
    </row>
    <row r="217" spans="1:37" ht="15.75">
      <c r="A217" s="206">
        <v>34188.398935189682</v>
      </c>
      <c r="B217" s="206">
        <v>46701</v>
      </c>
      <c r="C217" s="34" t="s">
        <v>250</v>
      </c>
      <c r="E217" s="276"/>
      <c r="F217" s="276"/>
      <c r="G217" s="325">
        <v>15</v>
      </c>
      <c r="H217" s="276"/>
      <c r="I217" s="664">
        <f>IF(ROR!C2=2,+B217*1000,A217*1000)</f>
        <v>46701000</v>
      </c>
      <c r="K217" s="211">
        <f>ROUND(VLOOKUP($G217,factors,+K$318)*$I217,0)</f>
        <v>14724825</v>
      </c>
      <c r="M217" s="211">
        <f>ROUND(VLOOKUP($G217,factors,+M$318)*$I217,0)</f>
        <v>6075800</v>
      </c>
      <c r="O217" s="211">
        <f>ROUND(VLOOKUP($G217,factors,+O$318)*$I217,0)</f>
        <v>2605916</v>
      </c>
      <c r="P217" s="214"/>
      <c r="Q217" s="211">
        <f>ROUND(VLOOKUP($G217,factors,+Q$318)*$I217,0)</f>
        <v>1933421</v>
      </c>
      <c r="S217" s="211">
        <f>ROUND(VLOOKUP($G217,factors,+S$318)*$I217,0)</f>
        <v>4058317</v>
      </c>
      <c r="T217" s="214"/>
      <c r="U217" s="211">
        <f>ROUND(VLOOKUP($G217,factors,+U$318)*$I217,0)</f>
        <v>242845</v>
      </c>
      <c r="W217" s="211">
        <f>ROUND(VLOOKUP($G217,factors,+W$318)*$I217,0)</f>
        <v>13505929</v>
      </c>
      <c r="Y217" s="211">
        <f>ROUND(VLOOKUP($G217,factors,+Y$318)*$I217,0)</f>
        <v>2381751</v>
      </c>
      <c r="AA217" s="211">
        <f>ROUND(VLOOKUP($G217,factors,+AA$318)*$I217,0)</f>
        <v>453000</v>
      </c>
      <c r="AB217" s="214"/>
      <c r="AC217" s="211">
        <f>ROUND(VLOOKUP($G217,factors,+AC$318)*$I217,0)</f>
        <v>471680</v>
      </c>
      <c r="AE217" s="211">
        <f>ROUND(VLOOKUP($G217,factors,+AE$318)*$I217,0)</f>
        <v>116753</v>
      </c>
      <c r="AG217" s="211">
        <f>ROUND(VLOOKUP($G217,factors,+AG$318)*$I217,0)</f>
        <v>130763</v>
      </c>
      <c r="AI217" s="208">
        <f t="shared" si="122"/>
        <v>0</v>
      </c>
    </row>
    <row r="218" spans="1:37">
      <c r="E218" s="276"/>
      <c r="F218" s="276"/>
      <c r="G218" s="325"/>
      <c r="H218" s="276"/>
      <c r="I218" s="483"/>
      <c r="AI218" s="208">
        <f t="shared" si="122"/>
        <v>0</v>
      </c>
    </row>
    <row r="219" spans="1:37">
      <c r="E219" s="276"/>
      <c r="F219" s="276"/>
      <c r="G219" s="325"/>
      <c r="H219" s="276"/>
      <c r="I219" s="361"/>
      <c r="AI219" s="208">
        <f t="shared" si="122"/>
        <v>0</v>
      </c>
    </row>
    <row r="220" spans="1:37" ht="15.75">
      <c r="B220" s="205"/>
      <c r="C220" s="34" t="s">
        <v>251</v>
      </c>
      <c r="E220" s="654"/>
      <c r="F220" s="654"/>
      <c r="G220" s="655"/>
      <c r="H220" s="654"/>
      <c r="I220" s="656">
        <f>SUM(I213:I217)</f>
        <v>166666932</v>
      </c>
      <c r="J220" s="34"/>
      <c r="K220" s="46">
        <f>SUM(K213:K217)</f>
        <v>43891842</v>
      </c>
      <c r="L220" s="34"/>
      <c r="M220" s="46">
        <f>SUM(M213:M217)</f>
        <v>17427620</v>
      </c>
      <c r="N220" s="34"/>
      <c r="O220" s="46">
        <f>SUM(O213:O217)</f>
        <v>7398792</v>
      </c>
      <c r="P220" s="55"/>
      <c r="Q220" s="46">
        <f>SUM(Q213:Q217)</f>
        <v>5489674</v>
      </c>
      <c r="R220" s="34"/>
      <c r="S220" s="46">
        <f>SUM(S213:S217)</f>
        <v>13664347.388671299</v>
      </c>
      <c r="T220" s="55"/>
      <c r="U220" s="46">
        <f>SUM(U213:U217)</f>
        <v>690686</v>
      </c>
      <c r="V220" s="34"/>
      <c r="W220" s="46">
        <f>SUM(W213:W217)</f>
        <v>62745185</v>
      </c>
      <c r="X220" s="34"/>
      <c r="Y220" s="46">
        <f>SUM(Y213:Y217)</f>
        <v>9944788</v>
      </c>
      <c r="Z220" s="34"/>
      <c r="AA220" s="46">
        <f>SUM(AA213:AA217)</f>
        <v>2354867</v>
      </c>
      <c r="AB220" s="55"/>
      <c r="AC220" s="46">
        <f>SUM(AC213:AC217)</f>
        <v>2019279</v>
      </c>
      <c r="AD220" s="34"/>
      <c r="AE220" s="46">
        <f t="shared" ref="AE220" si="143">SUM(AE213:AE217)</f>
        <v>479400</v>
      </c>
      <c r="AF220" s="34"/>
      <c r="AG220" s="46">
        <f t="shared" ref="AG220" si="144">SUM(AG213:AG217)</f>
        <v>560470</v>
      </c>
      <c r="AH220" s="34"/>
      <c r="AI220" s="208">
        <f t="shared" si="122"/>
        <v>18.388671278953552</v>
      </c>
    </row>
    <row r="221" spans="1:37">
      <c r="E221" s="276"/>
      <c r="F221" s="276"/>
      <c r="G221" s="325"/>
      <c r="H221" s="276"/>
      <c r="I221" s="361"/>
      <c r="AI221" s="208">
        <f t="shared" si="122"/>
        <v>0</v>
      </c>
    </row>
    <row r="222" spans="1:37" ht="15.75">
      <c r="C222" s="34" t="s">
        <v>274</v>
      </c>
      <c r="E222" s="276"/>
      <c r="F222" s="276"/>
      <c r="G222" s="325"/>
      <c r="H222" s="276"/>
      <c r="I222" s="483"/>
      <c r="K222" s="213"/>
      <c r="M222" s="207"/>
      <c r="N222" s="207"/>
      <c r="O222" s="207"/>
      <c r="P222" s="207"/>
      <c r="Q222" s="207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I222" s="208">
        <f t="shared" si="122"/>
        <v>0</v>
      </c>
    </row>
    <row r="223" spans="1:37">
      <c r="A223" s="200">
        <v>0</v>
      </c>
      <c r="E223" s="324" t="s">
        <v>438</v>
      </c>
      <c r="F223" s="276"/>
      <c r="G223" s="478" t="s">
        <v>403</v>
      </c>
      <c r="H223" s="308"/>
      <c r="I223" s="483">
        <f>+A223*1000</f>
        <v>0</v>
      </c>
      <c r="J223" s="336"/>
      <c r="K223" s="207">
        <f>ROUND(VLOOKUP($G223,factors,+K$318)*$I223,0)</f>
        <v>0</v>
      </c>
      <c r="M223" s="207">
        <f>ROUND(VLOOKUP($G223,factors,+M$318)*$I223,0)</f>
        <v>0</v>
      </c>
      <c r="N223" s="207"/>
      <c r="O223" s="207">
        <f>ROUND(VLOOKUP($G223,factors,+O$318)*$I223,0)</f>
        <v>0</v>
      </c>
      <c r="P223" s="207"/>
      <c r="Q223" s="207">
        <f>ROUND(VLOOKUP($G223,factors,+Q$318)*$I223,0)</f>
        <v>0</v>
      </c>
      <c r="R223" s="207"/>
      <c r="S223" s="206">
        <f>ROUND(VLOOKUP($G223,factors,+S$318)*$I223,0)</f>
        <v>0</v>
      </c>
      <c r="T223" s="206"/>
      <c r="U223" s="206">
        <f>ROUND(VLOOKUP($G223,factors,+U$318)*$I223,0)</f>
        <v>0</v>
      </c>
      <c r="V223" s="206"/>
      <c r="W223" s="206">
        <f>ROUND(VLOOKUP($G223,factors,+W$318)*$I223,0)</f>
        <v>0</v>
      </c>
      <c r="X223" s="206"/>
      <c r="Y223" s="206">
        <f>ROUND(VLOOKUP($G223,factors,+Y$318)*$I223,0)</f>
        <v>0</v>
      </c>
      <c r="Z223" s="206"/>
      <c r="AA223" s="206">
        <f>ROUND(VLOOKUP($G223,factors,+AA$318)*$I223,0)</f>
        <v>0</v>
      </c>
      <c r="AB223" s="206"/>
      <c r="AC223" s="207">
        <f>ROUND(VLOOKUP($G223,factors,+AC$318)*$I223,0)</f>
        <v>0</v>
      </c>
      <c r="AD223" s="206"/>
      <c r="AE223" s="207">
        <f>ROUND(VLOOKUP($G223,factors,+AE$318)*$I223,0)</f>
        <v>0</v>
      </c>
      <c r="AF223" s="206"/>
      <c r="AG223" s="207">
        <f>ROUND(VLOOKUP($G223,factors,+AG$318)*$I223,0)</f>
        <v>0</v>
      </c>
      <c r="AI223" s="208">
        <f t="shared" si="122"/>
        <v>0</v>
      </c>
    </row>
    <row r="224" spans="1:37">
      <c r="A224" s="200">
        <v>6</v>
      </c>
      <c r="E224" s="324" t="s">
        <v>556</v>
      </c>
      <c r="F224" s="276"/>
      <c r="G224" s="478">
        <v>12</v>
      </c>
      <c r="H224" s="308"/>
      <c r="I224" s="483">
        <f t="shared" ref="I224:I226" si="145">+A224*1000</f>
        <v>6000</v>
      </c>
      <c r="J224" s="336"/>
      <c r="K224" s="207">
        <f>ROUND(VLOOKUP($G224,factors,+K$318)*$I224,0)</f>
        <v>1283</v>
      </c>
      <c r="M224" s="207">
        <f>ROUND(VLOOKUP($G224,factors,+M$318)*$I224,0)</f>
        <v>485</v>
      </c>
      <c r="N224" s="207"/>
      <c r="O224" s="207">
        <f>ROUND(VLOOKUP($G224,factors,+O$318)*$I224,0)</f>
        <v>211</v>
      </c>
      <c r="P224" s="207"/>
      <c r="Q224" s="207">
        <f>ROUND(VLOOKUP($G224,factors,+Q$318)*$I224,0)</f>
        <v>156</v>
      </c>
      <c r="R224" s="207"/>
      <c r="S224" s="206">
        <f>ROUND(VLOOKUP($G224,factors,+S$318)*$I224,0)</f>
        <v>494</v>
      </c>
      <c r="T224" s="206"/>
      <c r="U224" s="206">
        <f>ROUND(VLOOKUP($G224,factors,+U$318)*$I224,0)</f>
        <v>20</v>
      </c>
      <c r="V224" s="206"/>
      <c r="W224" s="206">
        <f>ROUND(VLOOKUP($G224,factors,+W$318)*$I224,0)</f>
        <v>2749</v>
      </c>
      <c r="X224" s="206"/>
      <c r="Y224" s="206">
        <f>ROUND(VLOOKUP($G224,factors,+Y$318)*$I224,0)</f>
        <v>377</v>
      </c>
      <c r="Z224" s="206"/>
      <c r="AA224" s="206">
        <f>ROUND(VLOOKUP($G224,factors,+AA$318)*$I224,0)</f>
        <v>106</v>
      </c>
      <c r="AB224" s="206"/>
      <c r="AC224" s="207">
        <f>ROUND(VLOOKUP($G224,factors,+AC$318)*$I224,0)</f>
        <v>79</v>
      </c>
      <c r="AD224" s="206"/>
      <c r="AE224" s="207">
        <f>ROUND(VLOOKUP($G224,factors,+AE$318)*$I224,0)</f>
        <v>19</v>
      </c>
      <c r="AF224" s="206"/>
      <c r="AG224" s="207">
        <f>ROUND(VLOOKUP($G224,factors,+AG$318)*$I224,0)</f>
        <v>22</v>
      </c>
      <c r="AI224" s="208">
        <f t="shared" si="122"/>
        <v>1</v>
      </c>
    </row>
    <row r="225" spans="1:104">
      <c r="A225" s="200">
        <v>1782</v>
      </c>
      <c r="E225" s="324" t="s">
        <v>555</v>
      </c>
      <c r="F225" s="276"/>
      <c r="G225" s="478">
        <v>20</v>
      </c>
      <c r="H225" s="96"/>
      <c r="I225" s="483">
        <f t="shared" si="145"/>
        <v>1782000</v>
      </c>
      <c r="J225" s="336"/>
      <c r="K225" s="207">
        <f>ROUND(VLOOKUP($G225,factors,+K$318)*$I225,0)</f>
        <v>0</v>
      </c>
      <c r="M225" s="207">
        <f>ROUND(VLOOKUP($G225,factors,+M$318)*$I225,0)</f>
        <v>0</v>
      </c>
      <c r="N225" s="207"/>
      <c r="O225" s="207">
        <f>ROUND(VLOOKUP($G225,factors,+O$318)*$I225,0)</f>
        <v>0</v>
      </c>
      <c r="P225" s="207"/>
      <c r="Q225" s="207">
        <f>ROUND(VLOOKUP($G225,factors,+Q$318)*$I225,0)</f>
        <v>0</v>
      </c>
      <c r="R225" s="207"/>
      <c r="S225" s="206">
        <f>ROUND(VLOOKUP($G225,factors,+S$318)*$I225,0)</f>
        <v>0</v>
      </c>
      <c r="T225" s="206"/>
      <c r="U225" s="206">
        <f>ROUND(VLOOKUP($G225,factors,+U$318)*$I225,0)</f>
        <v>0</v>
      </c>
      <c r="V225" s="206"/>
      <c r="W225" s="206">
        <f>ROUND(VLOOKUP($G225,factors,+W$318)*$I225,0)</f>
        <v>1244014</v>
      </c>
      <c r="X225" s="206"/>
      <c r="Y225" s="206">
        <f>ROUND(VLOOKUP($G225,factors,+Y$318)*$I225,0)</f>
        <v>415562</v>
      </c>
      <c r="Z225" s="206"/>
      <c r="AA225" s="206">
        <f>ROUND(VLOOKUP($G225,factors,+AA$318)*$I225,0)</f>
        <v>122423</v>
      </c>
      <c r="AB225" s="206"/>
      <c r="AC225" s="207">
        <f>ROUND(VLOOKUP($G225,factors,+AC$318)*$I225,0)</f>
        <v>0</v>
      </c>
      <c r="AD225" s="206"/>
      <c r="AE225" s="207">
        <f>ROUND(VLOOKUP($G225,factors,+AE$318)*$I225,0)</f>
        <v>0</v>
      </c>
      <c r="AF225" s="206"/>
      <c r="AG225" s="207">
        <f>ROUND(VLOOKUP($G225,factors,+AG$318)*$I225,0)</f>
        <v>0</v>
      </c>
      <c r="AI225" s="208"/>
    </row>
    <row r="226" spans="1:104">
      <c r="A226" s="200">
        <v>490</v>
      </c>
      <c r="E226" s="324" t="s">
        <v>439</v>
      </c>
      <c r="F226" s="276"/>
      <c r="G226" s="325">
        <v>16</v>
      </c>
      <c r="H226" s="308"/>
      <c r="I226" s="479">
        <f t="shared" si="145"/>
        <v>490000</v>
      </c>
      <c r="J226" s="336"/>
      <c r="K226" s="211">
        <f>ROUND(VLOOKUP($G226,factors,+K$318)*$I226,0)</f>
        <v>129066</v>
      </c>
      <c r="L226" s="201"/>
      <c r="M226" s="211">
        <f>ROUND(VLOOKUP($G226,factors,+M$318)*$I226,0)</f>
        <v>51254</v>
      </c>
      <c r="N226" s="201"/>
      <c r="O226" s="211">
        <f>ROUND(VLOOKUP($G226,factors,+O$318)*$I226,0)</f>
        <v>21756</v>
      </c>
      <c r="P226" s="201"/>
      <c r="Q226" s="211">
        <f>ROUND(VLOOKUP($G226,factors,+Q$318)*$I226,0)</f>
        <v>16121</v>
      </c>
      <c r="R226" s="201"/>
      <c r="S226" s="211">
        <f>ROUND(VLOOKUP($G226,factors,+S$318)*$I226,0)</f>
        <v>40180</v>
      </c>
      <c r="T226" s="214"/>
      <c r="U226" s="211">
        <f>ROUND(VLOOKUP($G226,factors,+U$318)*$I226,0)</f>
        <v>2009</v>
      </c>
      <c r="V226" s="201"/>
      <c r="W226" s="211">
        <f>ROUND(VLOOKUP($G226,factors,+W$318)*$I226,0)</f>
        <v>184436</v>
      </c>
      <c r="X226" s="201"/>
      <c r="Y226" s="211">
        <f>ROUND(VLOOKUP($G226,factors,+Y$318)*$I226,0)</f>
        <v>29253</v>
      </c>
      <c r="Z226" s="201"/>
      <c r="AA226" s="211">
        <f>ROUND(VLOOKUP($G226,factors,+AA$318)*$I226,0)</f>
        <v>6909</v>
      </c>
      <c r="AB226" s="201"/>
      <c r="AC226" s="211">
        <f>ROUND(VLOOKUP($G226,factors,+AC$318)*$I226,0)</f>
        <v>5929</v>
      </c>
      <c r="AD226" s="201"/>
      <c r="AE226" s="211">
        <f>ROUND(VLOOKUP($G226,factors,+AE$318)*$I226,0)</f>
        <v>1421</v>
      </c>
      <c r="AF226" s="201"/>
      <c r="AG226" s="211">
        <f>ROUND(VLOOKUP($G226,factors,+AG$318)*$I226,0)</f>
        <v>1666</v>
      </c>
      <c r="AI226" s="208">
        <f t="shared" ref="AI226:AI273" si="146">SUM(K226:AG226)-I226</f>
        <v>0</v>
      </c>
    </row>
    <row r="227" spans="1:104">
      <c r="E227" s="276" t="s">
        <v>16</v>
      </c>
      <c r="F227" s="276"/>
      <c r="G227" s="325"/>
      <c r="H227" s="276"/>
      <c r="I227" s="483">
        <f>SUM(I222:I226)</f>
        <v>2278000</v>
      </c>
      <c r="K227" s="214">
        <f>SUM(K222:K226)</f>
        <v>130349</v>
      </c>
      <c r="M227" s="214">
        <f>SUM(M222:M226)</f>
        <v>51739</v>
      </c>
      <c r="O227" s="214">
        <f>SUM(O222:O226)</f>
        <v>21967</v>
      </c>
      <c r="Q227" s="214">
        <f>SUM(Q222:Q226)</f>
        <v>16277</v>
      </c>
      <c r="S227" s="214">
        <f>SUM(S222:S226)</f>
        <v>40674</v>
      </c>
      <c r="T227" s="214"/>
      <c r="U227" s="214">
        <f>SUM(U222:U226)</f>
        <v>2029</v>
      </c>
      <c r="W227" s="214">
        <f>SUM(W222:W226)</f>
        <v>1431199</v>
      </c>
      <c r="Y227" s="214">
        <f>SUM(Y222:Y226)</f>
        <v>445192</v>
      </c>
      <c r="AA227" s="214">
        <f>SUM(AA222:AA226)</f>
        <v>129438</v>
      </c>
      <c r="AC227" s="214">
        <f>SUM(AC222:AC226)</f>
        <v>6008</v>
      </c>
      <c r="AE227" s="214">
        <f>SUM(AE222:AE226)</f>
        <v>1440</v>
      </c>
      <c r="AG227" s="214">
        <f>SUM(AG222:AG226)</f>
        <v>1688</v>
      </c>
      <c r="AI227" s="208">
        <f t="shared" si="146"/>
        <v>0</v>
      </c>
    </row>
    <row r="228" spans="1:104">
      <c r="E228" s="276"/>
      <c r="F228" s="276"/>
      <c r="G228" s="325"/>
      <c r="H228" s="276"/>
      <c r="I228" s="361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I228" s="208">
        <f t="shared" si="146"/>
        <v>0</v>
      </c>
    </row>
    <row r="229" spans="1:104" ht="15.75">
      <c r="C229" s="34" t="s">
        <v>152</v>
      </c>
      <c r="E229" s="276"/>
      <c r="F229" s="276"/>
      <c r="G229" s="325"/>
      <c r="H229" s="276"/>
      <c r="I229" s="483"/>
      <c r="J229" s="214"/>
      <c r="K229" s="214"/>
      <c r="L229" s="214"/>
      <c r="M229" s="214"/>
      <c r="N229" s="214"/>
      <c r="O229" s="214"/>
      <c r="P229" s="214"/>
      <c r="Q229" s="214"/>
      <c r="R229" s="214"/>
      <c r="S229" s="214"/>
      <c r="T229" s="214"/>
      <c r="U229" s="214"/>
      <c r="V229" s="214"/>
      <c r="W229" s="214"/>
      <c r="X229" s="214"/>
      <c r="Y229" s="214"/>
      <c r="Z229" s="214"/>
      <c r="AA229" s="214"/>
      <c r="AB229" s="214"/>
      <c r="AC229" s="214"/>
      <c r="AD229" s="214"/>
      <c r="AE229" s="214"/>
      <c r="AF229" s="214"/>
      <c r="AG229" s="214"/>
      <c r="AI229" s="208">
        <f t="shared" si="146"/>
        <v>0</v>
      </c>
    </row>
    <row r="230" spans="1:104" ht="15.75">
      <c r="B230" s="206"/>
      <c r="C230" s="34" t="s">
        <v>153</v>
      </c>
      <c r="E230" s="654"/>
      <c r="F230" s="654"/>
      <c r="G230" s="655"/>
      <c r="H230" s="654"/>
      <c r="I230" s="668">
        <f>+I220-I227</f>
        <v>164388932</v>
      </c>
      <c r="J230" s="50"/>
      <c r="K230" s="50">
        <f>+K220-K227</f>
        <v>43761493</v>
      </c>
      <c r="L230" s="50"/>
      <c r="M230" s="50">
        <f>+M220-M227</f>
        <v>17375881</v>
      </c>
      <c r="N230" s="50"/>
      <c r="O230" s="50">
        <f>+O220-O227</f>
        <v>7376825</v>
      </c>
      <c r="P230" s="50"/>
      <c r="Q230" s="50">
        <f>+Q220-Q227</f>
        <v>5473397</v>
      </c>
      <c r="R230" s="50"/>
      <c r="S230" s="50">
        <f>+S220-S227</f>
        <v>13623673.388671299</v>
      </c>
      <c r="T230" s="50"/>
      <c r="U230" s="50">
        <f>+U220-U227</f>
        <v>688657</v>
      </c>
      <c r="V230" s="50"/>
      <c r="W230" s="50">
        <f>+W220-W227</f>
        <v>61313986</v>
      </c>
      <c r="X230" s="50"/>
      <c r="Y230" s="50">
        <f>+Y220-Y227</f>
        <v>9499596</v>
      </c>
      <c r="Z230" s="50"/>
      <c r="AA230" s="50">
        <f>+AA220-AA227</f>
        <v>2225429</v>
      </c>
      <c r="AB230" s="50"/>
      <c r="AC230" s="50">
        <f>+AC220-AC227</f>
        <v>2013271</v>
      </c>
      <c r="AD230" s="50"/>
      <c r="AE230" s="50">
        <f>+AE220-AE227</f>
        <v>477960</v>
      </c>
      <c r="AF230" s="50"/>
      <c r="AG230" s="50">
        <f>+AG220-AG227</f>
        <v>558782</v>
      </c>
      <c r="AH230" s="34"/>
      <c r="AI230" s="208">
        <f t="shared" si="146"/>
        <v>18.388671278953552</v>
      </c>
    </row>
    <row r="231" spans="1:104">
      <c r="B231" s="206"/>
      <c r="E231" s="276"/>
      <c r="F231" s="276"/>
      <c r="G231" s="325"/>
      <c r="H231" s="276"/>
      <c r="I231" s="483"/>
      <c r="AI231" s="208">
        <f t="shared" si="146"/>
        <v>0</v>
      </c>
    </row>
    <row r="232" spans="1:104">
      <c r="E232" s="276"/>
      <c r="F232" s="276"/>
      <c r="G232" s="325"/>
      <c r="H232" s="276"/>
      <c r="I232" s="361"/>
      <c r="U232" s="385"/>
      <c r="AI232" s="208">
        <f t="shared" si="146"/>
        <v>0</v>
      </c>
    </row>
    <row r="233" spans="1:104">
      <c r="E233" s="276"/>
      <c r="F233" s="276"/>
      <c r="G233" s="325"/>
      <c r="H233" s="276"/>
      <c r="I233" s="361"/>
      <c r="U233" s="216"/>
      <c r="AI233" s="208">
        <f t="shared" si="146"/>
        <v>0</v>
      </c>
    </row>
    <row r="234" spans="1:104" ht="15.75">
      <c r="C234" s="34" t="s">
        <v>307</v>
      </c>
      <c r="E234" s="276"/>
      <c r="F234" s="276"/>
      <c r="G234" s="325"/>
      <c r="H234" s="276"/>
      <c r="I234" s="361"/>
      <c r="U234" s="216"/>
      <c r="AI234" s="208">
        <f t="shared" si="146"/>
        <v>0</v>
      </c>
    </row>
    <row r="235" spans="1:104" ht="7.15" customHeight="1">
      <c r="C235" s="200" t="s">
        <v>218</v>
      </c>
      <c r="E235" s="276" t="s">
        <v>219</v>
      </c>
      <c r="F235" s="276"/>
      <c r="G235" s="325"/>
      <c r="H235" s="276"/>
      <c r="I235" s="361"/>
      <c r="U235" s="216"/>
      <c r="AI235" s="208">
        <f t="shared" si="146"/>
        <v>0</v>
      </c>
    </row>
    <row r="236" spans="1:104" ht="15" customHeight="1">
      <c r="C236" s="34" t="s">
        <v>240</v>
      </c>
      <c r="E236" s="276"/>
      <c r="F236" s="276"/>
      <c r="G236" s="325"/>
      <c r="H236" s="276"/>
      <c r="I236" s="361"/>
      <c r="U236" s="216"/>
      <c r="AI236" s="208">
        <f t="shared" si="146"/>
        <v>0</v>
      </c>
    </row>
    <row r="237" spans="1:104" ht="15" customHeight="1">
      <c r="C237" s="210">
        <v>374</v>
      </c>
      <c r="E237" s="324" t="s">
        <v>552</v>
      </c>
      <c r="F237" s="276"/>
      <c r="G237" s="478">
        <v>18</v>
      </c>
      <c r="H237" s="276"/>
      <c r="I237" s="361">
        <f>+Linkin!I176</f>
        <v>276467</v>
      </c>
      <c r="K237" s="207">
        <f>ROUND(VLOOKUP($G237,factors,+K$318)*$I237,0)</f>
        <v>136077</v>
      </c>
      <c r="M237" s="207">
        <f>ROUND(VLOOKUP($G237,factors,+M$318)*$I237,0)</f>
        <v>56620</v>
      </c>
      <c r="N237" s="207"/>
      <c r="O237" s="207">
        <f>ROUND(VLOOKUP($G237,factors,+O$318)*$I237,0)</f>
        <v>24827</v>
      </c>
      <c r="P237" s="207"/>
      <c r="Q237" s="207">
        <f>ROUND(VLOOKUP($G237,factors,+Q$318)*$I237,0)</f>
        <v>18440</v>
      </c>
      <c r="R237" s="207"/>
      <c r="S237" s="207">
        <f>ROUND(VLOOKUP($G237,factors,+S$318)*$I237,0)</f>
        <v>38180</v>
      </c>
      <c r="T237" s="207"/>
      <c r="U237" s="216">
        <f>ROUND(VLOOKUP($G237,factors,+U$318)*$I237,0)</f>
        <v>2322</v>
      </c>
      <c r="V237" s="207"/>
      <c r="W237" s="207">
        <f>ROUND(VLOOKUP($G237,factors,+W$318)*$I237,0)</f>
        <v>0</v>
      </c>
      <c r="X237" s="207"/>
      <c r="Y237" s="207">
        <f>ROUND(VLOOKUP($G237,factors,+Y$318)*$I237,0)</f>
        <v>0</v>
      </c>
      <c r="Z237" s="207"/>
      <c r="AA237" s="207">
        <f>ROUND(VLOOKUP($G237,factors,+AA$318)*$I237,0)</f>
        <v>0</v>
      </c>
      <c r="AB237" s="207"/>
      <c r="AC237" s="207">
        <f>ROUND(VLOOKUP($G237,factors,+AC$318)*$I237,0)</f>
        <v>0</v>
      </c>
      <c r="AD237" s="207"/>
      <c r="AE237" s="207">
        <f>ROUND(VLOOKUP($G237,factors,+AE$318)*$I237,0)</f>
        <v>0</v>
      </c>
      <c r="AF237" s="207"/>
      <c r="AG237" s="207">
        <f>ROUND(VLOOKUP($G237,factors,+AG$318)*$I237,0)</f>
        <v>0</v>
      </c>
      <c r="AI237" s="208">
        <f t="shared" si="146"/>
        <v>-1</v>
      </c>
    </row>
    <row r="238" spans="1:104" ht="15" customHeight="1">
      <c r="A238" s="276"/>
      <c r="B238" s="276"/>
      <c r="C238" s="210">
        <v>374</v>
      </c>
      <c r="E238" s="276" t="s">
        <v>388</v>
      </c>
      <c r="F238" s="276"/>
      <c r="G238" s="325">
        <v>4</v>
      </c>
      <c r="H238" s="276"/>
      <c r="I238" s="361">
        <f>+Linkin!I177</f>
        <v>3109045</v>
      </c>
      <c r="K238" s="207">
        <f>ROUND(VLOOKUP($G238,factors,+K$318)*$I238,0)</f>
        <v>1775576</v>
      </c>
      <c r="M238" s="207">
        <f>ROUND(VLOOKUP($G238,factors,+M$318)*$I238,0)</f>
        <v>738709</v>
      </c>
      <c r="N238" s="207"/>
      <c r="O238" s="207">
        <f>ROUND(VLOOKUP($G238,factors,+O$318)*$I238,0)</f>
        <v>323962</v>
      </c>
      <c r="P238" s="207"/>
      <c r="Q238" s="207">
        <f>ROUND(VLOOKUP($G238,factors,+Q$318)*$I238,0)</f>
        <v>240640</v>
      </c>
      <c r="R238" s="207"/>
      <c r="S238" s="207">
        <f>ROUND(VLOOKUP($G238,factors,+S$318)*$I238,0)</f>
        <v>0</v>
      </c>
      <c r="T238" s="207"/>
      <c r="U238" s="216">
        <f>ROUND(VLOOKUP($G238,factors,+U$318)*$I238,0)</f>
        <v>30158</v>
      </c>
      <c r="V238" s="207"/>
      <c r="W238" s="207">
        <f>ROUND(VLOOKUP($G238,factors,+W$318)*$I238,0)</f>
        <v>0</v>
      </c>
      <c r="X238" s="207"/>
      <c r="Y238" s="207">
        <f>ROUND(VLOOKUP($G238,factors,+Y$318)*$I238,0)</f>
        <v>0</v>
      </c>
      <c r="Z238" s="207"/>
      <c r="AA238" s="207">
        <f>ROUND(VLOOKUP($G238,factors,+AA$318)*$I238,0)</f>
        <v>0</v>
      </c>
      <c r="AB238" s="207"/>
      <c r="AC238" s="207">
        <f>ROUND(VLOOKUP($G238,factors,+AC$318)*$I238,0)</f>
        <v>0</v>
      </c>
      <c r="AD238" s="207"/>
      <c r="AE238" s="207">
        <f>ROUND(VLOOKUP($G238,factors,+AE$318)*$I238,0)</f>
        <v>0</v>
      </c>
      <c r="AF238" s="207"/>
      <c r="AG238" s="207">
        <f>ROUND(VLOOKUP($G238,factors,+AG$318)*$I238,0)</f>
        <v>0</v>
      </c>
      <c r="AI238" s="208">
        <f t="shared" si="146"/>
        <v>0</v>
      </c>
    </row>
    <row r="239" spans="1:104" ht="15" customHeight="1">
      <c r="A239" s="276"/>
      <c r="B239" s="276"/>
      <c r="C239" s="210">
        <v>375</v>
      </c>
      <c r="E239" s="324" t="s">
        <v>292</v>
      </c>
      <c r="F239" s="276"/>
      <c r="G239" s="478">
        <v>18</v>
      </c>
      <c r="H239" s="276"/>
      <c r="I239" s="326">
        <f>+Linkin!I138</f>
        <v>1678902</v>
      </c>
      <c r="K239" s="207">
        <f>ROUND(VLOOKUP($G239,factors,+K$318)*$I239,0)</f>
        <v>826356</v>
      </c>
      <c r="M239" s="207">
        <f>ROUND(VLOOKUP($G239,factors,+M$318)*$I239,0)</f>
        <v>343839</v>
      </c>
      <c r="N239" s="207"/>
      <c r="O239" s="207">
        <f>ROUND(VLOOKUP($G239,factors,+O$318)*$I239,0)</f>
        <v>150765</v>
      </c>
      <c r="P239" s="207"/>
      <c r="Q239" s="207">
        <f>ROUND(VLOOKUP($G239,factors,+Q$318)*$I239,0)</f>
        <v>111983</v>
      </c>
      <c r="R239" s="207"/>
      <c r="S239" s="207">
        <f>ROUND(VLOOKUP($G239,factors,+S$318)*$I239,0)</f>
        <v>231856</v>
      </c>
      <c r="T239" s="207"/>
      <c r="U239" s="216">
        <f>ROUND(VLOOKUP($G239,factors,+U$318)*$I239,0)</f>
        <v>14103</v>
      </c>
      <c r="V239" s="207"/>
      <c r="W239" s="207">
        <f>ROUND(VLOOKUP($G239,factors,+W$318)*$I239,0)</f>
        <v>0</v>
      </c>
      <c r="X239" s="207"/>
      <c r="Y239" s="207">
        <f>ROUND(VLOOKUP($G239,factors,+Y$318)*$I239,0)</f>
        <v>0</v>
      </c>
      <c r="Z239" s="207"/>
      <c r="AA239" s="207">
        <f>ROUND(VLOOKUP($G239,factors,+AA$318)*$I239,0)</f>
        <v>0</v>
      </c>
      <c r="AB239" s="207"/>
      <c r="AC239" s="207">
        <f>ROUND(VLOOKUP($G239,factors,+AC$318)*$I239,0)</f>
        <v>0</v>
      </c>
      <c r="AD239" s="207"/>
      <c r="AE239" s="207">
        <f>ROUND(VLOOKUP($G239,factors,+AE$318)*$I239,0)</f>
        <v>0</v>
      </c>
      <c r="AF239" s="207"/>
      <c r="AG239" s="207">
        <f>ROUND(VLOOKUP($G239,factors,+AG$318)*$I239,0)</f>
        <v>0</v>
      </c>
      <c r="AI239" s="208">
        <f t="shared" si="146"/>
        <v>0</v>
      </c>
    </row>
    <row r="240" spans="1:104" s="169" customFormat="1" ht="15" customHeight="1">
      <c r="A240" s="558">
        <v>86242975.105006307</v>
      </c>
      <c r="B240" s="554">
        <f>SUM(I240:I242)</f>
        <v>368095626.99999994</v>
      </c>
      <c r="C240" s="478">
        <v>376</v>
      </c>
      <c r="D240" s="324"/>
      <c r="E240" s="324" t="s">
        <v>396</v>
      </c>
      <c r="F240" s="276"/>
      <c r="G240" s="478">
        <v>5</v>
      </c>
      <c r="H240" s="276"/>
      <c r="I240" s="361">
        <f>+A240-A242</f>
        <v>86160035.167607337</v>
      </c>
      <c r="J240" s="324"/>
      <c r="K240" s="327">
        <f>ROUND(VLOOKUP($G240,factors,+K$318)*$I240,0)</f>
        <v>49205996</v>
      </c>
      <c r="L240" s="276"/>
      <c r="M240" s="327">
        <f>ROUND(VLOOKUP($G240,factors,+M$318)*$I240,0)</f>
        <v>20471624</v>
      </c>
      <c r="N240" s="327"/>
      <c r="O240" s="327">
        <f>ROUND(VLOOKUP($G240,factors,+O$318)*$I240,0)</f>
        <v>8977876</v>
      </c>
      <c r="P240" s="327"/>
      <c r="Q240" s="327">
        <f>ROUND(VLOOKUP($G240,factors,+Q$318)*$I240,0)</f>
        <v>6668787</v>
      </c>
      <c r="R240" s="327"/>
      <c r="S240" s="327">
        <f>ROUND(VLOOKUP($G240,factors,+S$318)*$I240,0)</f>
        <v>0</v>
      </c>
      <c r="T240" s="327"/>
      <c r="U240" s="311">
        <f>ROUND(VLOOKUP($G240,factors,+U$318)*$I240,0)</f>
        <v>835752</v>
      </c>
      <c r="V240" s="327"/>
      <c r="W240" s="327">
        <f>ROUND(VLOOKUP($G240,factors,+W$318)*$I240,0)</f>
        <v>0</v>
      </c>
      <c r="X240" s="327"/>
      <c r="Y240" s="327">
        <f>ROUND(VLOOKUP($G240,factors,+Y$318)*$I240,0)</f>
        <v>0</v>
      </c>
      <c r="Z240" s="327"/>
      <c r="AA240" s="327">
        <f>ROUND(VLOOKUP($G240,factors,+AA$318)*$I240,0)</f>
        <v>0</v>
      </c>
      <c r="AB240" s="327"/>
      <c r="AC240" s="327">
        <f>ROUND(VLOOKUP($G240,factors,+AC$318)*$I240,0)</f>
        <v>0</v>
      </c>
      <c r="AD240" s="327"/>
      <c r="AE240" s="327">
        <f>ROUND(VLOOKUP($G240,factors,+AE$318)*$I240,0)</f>
        <v>0</v>
      </c>
      <c r="AF240" s="327"/>
      <c r="AG240" s="327">
        <f>ROUND(VLOOKUP($G240,factors,+AG$318)*$I240,0)</f>
        <v>0</v>
      </c>
      <c r="AH240" s="276"/>
      <c r="AI240" s="208">
        <f t="shared" si="146"/>
        <v>-0.16760733723640442</v>
      </c>
      <c r="AJ240" s="276"/>
      <c r="AK240" s="276"/>
      <c r="AL240" s="112"/>
      <c r="AM240" s="112"/>
      <c r="AN240" s="112"/>
      <c r="AO240" s="112"/>
      <c r="AP240" s="112"/>
      <c r="AQ240" s="112"/>
      <c r="AR240" s="112"/>
      <c r="AS240" s="112"/>
      <c r="AT240" s="112"/>
      <c r="AU240" s="112"/>
      <c r="AV240" s="112"/>
      <c r="AW240" s="112"/>
      <c r="AX240" s="112"/>
      <c r="AY240" s="112"/>
      <c r="AZ240" s="112"/>
      <c r="BA240" s="112"/>
      <c r="BB240" s="112"/>
      <c r="BC240" s="112"/>
      <c r="BD240" s="112"/>
      <c r="BE240" s="112"/>
      <c r="BF240" s="112"/>
      <c r="BG240" s="112"/>
      <c r="BH240" s="112"/>
      <c r="BI240" s="112"/>
      <c r="BJ240" s="112"/>
      <c r="BK240" s="112"/>
      <c r="BL240" s="112"/>
      <c r="BM240" s="112"/>
      <c r="BN240" s="112"/>
      <c r="BO240" s="112"/>
      <c r="BP240" s="112"/>
      <c r="BQ240" s="112"/>
      <c r="BR240" s="112"/>
      <c r="BS240" s="112"/>
      <c r="BT240" s="112"/>
      <c r="BU240" s="112"/>
      <c r="BV240" s="112"/>
      <c r="BW240" s="112"/>
      <c r="BX240" s="112"/>
      <c r="BY240" s="112"/>
      <c r="BZ240" s="112"/>
      <c r="CA240" s="112"/>
      <c r="CB240" s="112"/>
      <c r="CC240" s="112"/>
      <c r="CD240" s="112"/>
      <c r="CE240" s="112"/>
      <c r="CF240" s="112"/>
      <c r="CG240" s="112"/>
      <c r="CH240" s="112"/>
      <c r="CI240" s="112"/>
      <c r="CJ240" s="112"/>
      <c r="CK240" s="112"/>
      <c r="CL240" s="112"/>
      <c r="CM240" s="112"/>
      <c r="CN240" s="112"/>
      <c r="CO240" s="112"/>
      <c r="CP240" s="112"/>
      <c r="CQ240" s="112"/>
      <c r="CR240" s="112"/>
      <c r="CS240" s="112"/>
      <c r="CT240" s="112"/>
      <c r="CU240" s="112"/>
      <c r="CV240" s="112"/>
      <c r="CW240" s="112"/>
      <c r="CX240" s="112"/>
      <c r="CY240" s="112"/>
      <c r="CZ240" s="112"/>
    </row>
    <row r="241" spans="1:104" s="169" customFormat="1" ht="15" customHeight="1">
      <c r="A241" s="558">
        <v>281852651.89499366</v>
      </c>
      <c r="B241" s="324"/>
      <c r="C241" s="478"/>
      <c r="D241" s="324"/>
      <c r="E241" s="324" t="s">
        <v>397</v>
      </c>
      <c r="F241" s="276"/>
      <c r="G241" s="478">
        <v>4</v>
      </c>
      <c r="H241" s="276"/>
      <c r="I241" s="361">
        <f>+A241-A243</f>
        <v>231097023.68271899</v>
      </c>
      <c r="J241" s="324"/>
      <c r="K241" s="327">
        <f>ROUND(VLOOKUP($G241,factors,+K$318)*$I241,0)</f>
        <v>131979510</v>
      </c>
      <c r="L241" s="276"/>
      <c r="M241" s="327">
        <f>ROUND(VLOOKUP($G241,factors,+M$318)*$I241,0)</f>
        <v>54908653</v>
      </c>
      <c r="N241" s="327"/>
      <c r="O241" s="327">
        <f>ROUND(VLOOKUP($G241,factors,+O$318)*$I241,0)</f>
        <v>24080310</v>
      </c>
      <c r="P241" s="327"/>
      <c r="Q241" s="327">
        <f>ROUND(VLOOKUP($G241,factors,+Q$318)*$I241,0)</f>
        <v>17886910</v>
      </c>
      <c r="R241" s="327"/>
      <c r="S241" s="327">
        <f>ROUND(VLOOKUP($G241,factors,+S$318)*$I241,0)</f>
        <v>0</v>
      </c>
      <c r="T241" s="327"/>
      <c r="U241" s="311">
        <f>ROUND(VLOOKUP($G241,factors,+U$318)*$I241,0)</f>
        <v>2241641</v>
      </c>
      <c r="V241" s="327"/>
      <c r="W241" s="327"/>
      <c r="X241" s="327"/>
      <c r="Y241" s="327"/>
      <c r="Z241" s="327"/>
      <c r="AA241" s="327"/>
      <c r="AB241" s="327"/>
      <c r="AC241" s="327"/>
      <c r="AD241" s="327"/>
      <c r="AE241" s="327"/>
      <c r="AF241" s="327"/>
      <c r="AG241" s="327"/>
      <c r="AH241" s="276"/>
      <c r="AI241" s="208">
        <f t="shared" si="146"/>
        <v>0.31728100776672363</v>
      </c>
      <c r="AJ241" s="276"/>
      <c r="AK241" s="276"/>
      <c r="AL241" s="112"/>
      <c r="AM241" s="112"/>
      <c r="AN241" s="112"/>
      <c r="AO241" s="112"/>
      <c r="AP241" s="112"/>
      <c r="AQ241" s="112"/>
      <c r="AR241" s="112"/>
      <c r="AS241" s="112"/>
      <c r="AT241" s="112"/>
      <c r="AU241" s="112"/>
      <c r="AV241" s="112"/>
      <c r="AW241" s="112"/>
      <c r="AX241" s="112"/>
      <c r="AY241" s="112"/>
      <c r="AZ241" s="112"/>
      <c r="BA241" s="112"/>
      <c r="BB241" s="112"/>
      <c r="BC241" s="112"/>
      <c r="BD241" s="112"/>
      <c r="BE241" s="112"/>
      <c r="BF241" s="112"/>
      <c r="BG241" s="112"/>
      <c r="BH241" s="112"/>
      <c r="BI241" s="112"/>
      <c r="BJ241" s="112"/>
      <c r="BK241" s="112"/>
      <c r="BL241" s="112"/>
      <c r="BM241" s="112"/>
      <c r="BN241" s="112"/>
      <c r="BO241" s="112"/>
      <c r="BP241" s="112"/>
      <c r="BQ241" s="112"/>
      <c r="BR241" s="112"/>
      <c r="BS241" s="112"/>
      <c r="BT241" s="112"/>
      <c r="BU241" s="112"/>
      <c r="BV241" s="112"/>
      <c r="BW241" s="112"/>
      <c r="BX241" s="112"/>
      <c r="BY241" s="112"/>
      <c r="BZ241" s="112"/>
      <c r="CA241" s="112"/>
      <c r="CB241" s="112"/>
      <c r="CC241" s="112"/>
      <c r="CD241" s="112"/>
      <c r="CE241" s="112"/>
      <c r="CF241" s="112"/>
      <c r="CG241" s="112"/>
      <c r="CH241" s="112"/>
      <c r="CI241" s="112"/>
      <c r="CJ241" s="112"/>
      <c r="CK241" s="112"/>
      <c r="CL241" s="112"/>
      <c r="CM241" s="112"/>
      <c r="CN241" s="112"/>
      <c r="CO241" s="112"/>
      <c r="CP241" s="112"/>
      <c r="CQ241" s="112"/>
      <c r="CR241" s="112"/>
      <c r="CS241" s="112"/>
      <c r="CT241" s="112"/>
      <c r="CU241" s="112"/>
      <c r="CV241" s="112"/>
      <c r="CW241" s="112"/>
      <c r="CX241" s="112"/>
      <c r="CY241" s="112"/>
      <c r="CZ241" s="112"/>
    </row>
    <row r="242" spans="1:104" s="169" customFormat="1" ht="15" customHeight="1">
      <c r="A242" s="558">
        <v>82939.937398973139</v>
      </c>
      <c r="B242" s="723" t="s">
        <v>681</v>
      </c>
      <c r="C242" s="478"/>
      <c r="D242" s="324"/>
      <c r="E242" s="324" t="s">
        <v>472</v>
      </c>
      <c r="F242" s="276"/>
      <c r="G242" s="478" t="s">
        <v>391</v>
      </c>
      <c r="H242" s="276"/>
      <c r="I242" s="326">
        <f>+A242+A243</f>
        <v>50838568.149673641</v>
      </c>
      <c r="J242" s="276"/>
      <c r="K242" s="327"/>
      <c r="L242" s="276"/>
      <c r="M242" s="327"/>
      <c r="N242" s="327"/>
      <c r="O242" s="327"/>
      <c r="P242" s="327"/>
      <c r="Q242" s="327"/>
      <c r="R242" s="327"/>
      <c r="S242" s="327">
        <f>+I242-U242</f>
        <v>50838568.149673641</v>
      </c>
      <c r="T242" s="327"/>
      <c r="U242" s="327"/>
      <c r="V242" s="327"/>
      <c r="W242" s="327"/>
      <c r="X242" s="327"/>
      <c r="Y242" s="327"/>
      <c r="Z242" s="327"/>
      <c r="AA242" s="327"/>
      <c r="AB242" s="327"/>
      <c r="AC242" s="327"/>
      <c r="AD242" s="327"/>
      <c r="AE242" s="327"/>
      <c r="AF242" s="327"/>
      <c r="AG242" s="327"/>
      <c r="AH242" s="276"/>
      <c r="AI242" s="208">
        <f t="shared" si="146"/>
        <v>0</v>
      </c>
      <c r="AJ242" s="276"/>
      <c r="AK242" s="276"/>
      <c r="AL242" s="112"/>
      <c r="AM242" s="112"/>
      <c r="AN242" s="112"/>
      <c r="AO242" s="112"/>
      <c r="AP242" s="112"/>
      <c r="AQ242" s="112"/>
      <c r="AR242" s="112"/>
      <c r="AS242" s="112"/>
      <c r="AT242" s="112"/>
      <c r="AU242" s="112"/>
      <c r="AV242" s="112"/>
      <c r="AW242" s="112"/>
      <c r="AX242" s="112"/>
      <c r="AY242" s="112"/>
      <c r="AZ242" s="112"/>
      <c r="BA242" s="112"/>
      <c r="BB242" s="112"/>
      <c r="BC242" s="112"/>
      <c r="BD242" s="112"/>
      <c r="BE242" s="112"/>
      <c r="BF242" s="112"/>
      <c r="BG242" s="112"/>
      <c r="BH242" s="112"/>
      <c r="BI242" s="112"/>
      <c r="BJ242" s="112"/>
      <c r="BK242" s="112"/>
      <c r="BL242" s="112"/>
      <c r="BM242" s="112"/>
      <c r="BN242" s="112"/>
      <c r="BO242" s="112"/>
      <c r="BP242" s="112"/>
      <c r="BQ242" s="112"/>
      <c r="BR242" s="112"/>
      <c r="BS242" s="112"/>
      <c r="BT242" s="112"/>
      <c r="BU242" s="112"/>
      <c r="BV242" s="112"/>
      <c r="BW242" s="112"/>
      <c r="BX242" s="112"/>
      <c r="BY242" s="112"/>
      <c r="BZ242" s="112"/>
      <c r="CA242" s="112"/>
      <c r="CB242" s="112"/>
      <c r="CC242" s="112"/>
      <c r="CD242" s="112"/>
      <c r="CE242" s="112"/>
      <c r="CF242" s="112"/>
      <c r="CG242" s="112"/>
      <c r="CH242" s="112"/>
      <c r="CI242" s="112"/>
      <c r="CJ242" s="112"/>
      <c r="CK242" s="112"/>
      <c r="CL242" s="112"/>
      <c r="CM242" s="112"/>
      <c r="CN242" s="112"/>
      <c r="CO242" s="112"/>
      <c r="CP242" s="112"/>
      <c r="CQ242" s="112"/>
      <c r="CR242" s="112"/>
      <c r="CS242" s="112"/>
      <c r="CT242" s="112"/>
      <c r="CU242" s="112"/>
      <c r="CV242" s="112"/>
      <c r="CW242" s="112"/>
      <c r="CX242" s="112"/>
      <c r="CY242" s="112"/>
      <c r="CZ242" s="112"/>
    </row>
    <row r="243" spans="1:104" ht="15" customHeight="1">
      <c r="A243" s="206">
        <v>50755628.212274671</v>
      </c>
      <c r="B243" s="724" t="s">
        <v>682</v>
      </c>
      <c r="C243" s="210">
        <v>378</v>
      </c>
      <c r="E243" s="276" t="s">
        <v>159</v>
      </c>
      <c r="F243" s="276"/>
      <c r="G243" s="478">
        <v>18</v>
      </c>
      <c r="H243" s="276"/>
      <c r="I243" s="326">
        <f>+Linkin!I141</f>
        <v>14220894</v>
      </c>
      <c r="K243" s="207">
        <f t="shared" ref="K243:K257" si="147">ROUND(VLOOKUP($G243,factors,+K$318)*$I243,0)</f>
        <v>6999524</v>
      </c>
      <c r="M243" s="207">
        <f t="shared" ref="M243:M257" si="148">ROUND(VLOOKUP($G243,factors,+M$318)*$I243,0)</f>
        <v>2912439</v>
      </c>
      <c r="N243" s="207"/>
      <c r="O243" s="207">
        <f t="shared" ref="O243:O257" si="149">ROUND(VLOOKUP($G243,factors,+O$318)*$I243,0)</f>
        <v>1277036</v>
      </c>
      <c r="P243" s="207"/>
      <c r="Q243" s="207">
        <f t="shared" ref="Q243:Q257" si="150">ROUND(VLOOKUP($G243,factors,+Q$318)*$I243,0)</f>
        <v>948534</v>
      </c>
      <c r="R243" s="207"/>
      <c r="S243" s="207">
        <f t="shared" ref="S243:S257" si="151">ROUND(VLOOKUP($G243,factors,+S$318)*$I243,0)</f>
        <v>1963905</v>
      </c>
      <c r="T243" s="207"/>
      <c r="U243" s="216">
        <f t="shared" ref="U243:U257" si="152">ROUND(VLOOKUP($G243,factors,+U$318)*$I243,0)</f>
        <v>119456</v>
      </c>
      <c r="V243" s="207"/>
      <c r="W243" s="207">
        <f t="shared" ref="W243:W257" si="153">ROUND(VLOOKUP($G243,factors,+W$318)*$I243,0)</f>
        <v>0</v>
      </c>
      <c r="X243" s="207"/>
      <c r="Y243" s="207">
        <f t="shared" ref="Y243:Y257" si="154">ROUND(VLOOKUP($G243,factors,+Y$318)*$I243,0)</f>
        <v>0</v>
      </c>
      <c r="Z243" s="207"/>
      <c r="AA243" s="207">
        <f t="shared" ref="AA243:AA257" si="155">ROUND(VLOOKUP($G243,factors,+AA$318)*$I243,0)</f>
        <v>0</v>
      </c>
      <c r="AB243" s="207"/>
      <c r="AC243" s="207">
        <f t="shared" ref="AC243:AC257" si="156">ROUND(VLOOKUP($G243,factors,+AC$318)*$I243,0)</f>
        <v>0</v>
      </c>
      <c r="AD243" s="207"/>
      <c r="AE243" s="207">
        <f t="shared" ref="AE243:AE257" si="157">ROUND(VLOOKUP($G243,factors,+AE$318)*$I243,0)</f>
        <v>0</v>
      </c>
      <c r="AF243" s="207"/>
      <c r="AG243" s="207">
        <f t="shared" ref="AG243:AG257" si="158">ROUND(VLOOKUP($G243,factors,+AG$318)*$I243,0)</f>
        <v>0</v>
      </c>
      <c r="AI243" s="208">
        <f t="shared" si="146"/>
        <v>0</v>
      </c>
    </row>
    <row r="244" spans="1:104" ht="15" customHeight="1">
      <c r="A244" s="327"/>
      <c r="B244" s="327"/>
      <c r="C244" s="210">
        <v>379</v>
      </c>
      <c r="E244" s="276" t="s">
        <v>426</v>
      </c>
      <c r="F244" s="276"/>
      <c r="G244" s="478">
        <v>18</v>
      </c>
      <c r="H244" s="276"/>
      <c r="I244" s="326">
        <v>0</v>
      </c>
      <c r="K244" s="207">
        <f t="shared" si="147"/>
        <v>0</v>
      </c>
      <c r="M244" s="207">
        <f t="shared" si="148"/>
        <v>0</v>
      </c>
      <c r="N244" s="207"/>
      <c r="O244" s="207">
        <f t="shared" si="149"/>
        <v>0</v>
      </c>
      <c r="P244" s="207"/>
      <c r="Q244" s="207">
        <f t="shared" si="150"/>
        <v>0</v>
      </c>
      <c r="R244" s="207"/>
      <c r="S244" s="207">
        <f t="shared" si="151"/>
        <v>0</v>
      </c>
      <c r="T244" s="207"/>
      <c r="U244" s="216">
        <f t="shared" si="152"/>
        <v>0</v>
      </c>
      <c r="V244" s="207"/>
      <c r="W244" s="207">
        <f t="shared" si="153"/>
        <v>0</v>
      </c>
      <c r="X244" s="207"/>
      <c r="Y244" s="207">
        <f t="shared" si="154"/>
        <v>0</v>
      </c>
      <c r="Z244" s="207"/>
      <c r="AA244" s="207">
        <f t="shared" si="155"/>
        <v>0</v>
      </c>
      <c r="AB244" s="207"/>
      <c r="AC244" s="207">
        <f t="shared" si="156"/>
        <v>0</v>
      </c>
      <c r="AD244" s="207"/>
      <c r="AE244" s="207">
        <f t="shared" si="157"/>
        <v>0</v>
      </c>
      <c r="AF244" s="207"/>
      <c r="AG244" s="207">
        <f t="shared" si="158"/>
        <v>0</v>
      </c>
      <c r="AI244" s="208">
        <f t="shared" si="146"/>
        <v>0</v>
      </c>
    </row>
    <row r="245" spans="1:104" ht="15" customHeight="1">
      <c r="A245" s="331"/>
      <c r="B245" s="276"/>
      <c r="C245" s="210">
        <v>379</v>
      </c>
      <c r="E245" s="276" t="s">
        <v>160</v>
      </c>
      <c r="F245" s="276"/>
      <c r="G245" s="478">
        <v>18</v>
      </c>
      <c r="H245" s="276"/>
      <c r="I245" s="326">
        <f>+Linkin!I142</f>
        <v>14208221</v>
      </c>
      <c r="K245" s="207">
        <f t="shared" si="147"/>
        <v>6993286</v>
      </c>
      <c r="M245" s="207">
        <f t="shared" si="148"/>
        <v>2909844</v>
      </c>
      <c r="N245" s="207"/>
      <c r="O245" s="207">
        <f t="shared" si="149"/>
        <v>1275898</v>
      </c>
      <c r="P245" s="207"/>
      <c r="Q245" s="207">
        <f t="shared" si="150"/>
        <v>947688</v>
      </c>
      <c r="R245" s="207"/>
      <c r="S245" s="207">
        <f t="shared" si="151"/>
        <v>1962155</v>
      </c>
      <c r="T245" s="207"/>
      <c r="U245" s="216">
        <f t="shared" si="152"/>
        <v>119349</v>
      </c>
      <c r="V245" s="207"/>
      <c r="W245" s="207">
        <f t="shared" si="153"/>
        <v>0</v>
      </c>
      <c r="X245" s="207"/>
      <c r="Y245" s="207">
        <f t="shared" si="154"/>
        <v>0</v>
      </c>
      <c r="Z245" s="207"/>
      <c r="AA245" s="207">
        <f t="shared" si="155"/>
        <v>0</v>
      </c>
      <c r="AB245" s="207"/>
      <c r="AC245" s="207">
        <f t="shared" si="156"/>
        <v>0</v>
      </c>
      <c r="AD245" s="207"/>
      <c r="AE245" s="207">
        <f t="shared" si="157"/>
        <v>0</v>
      </c>
      <c r="AF245" s="207"/>
      <c r="AG245" s="207">
        <f t="shared" si="158"/>
        <v>0</v>
      </c>
      <c r="AI245" s="208">
        <f t="shared" si="146"/>
        <v>-1</v>
      </c>
    </row>
    <row r="246" spans="1:104" ht="15" customHeight="1">
      <c r="C246" s="210">
        <v>380</v>
      </c>
      <c r="E246" s="324" t="s">
        <v>293</v>
      </c>
      <c r="F246" s="276"/>
      <c r="G246" s="325" t="s">
        <v>403</v>
      </c>
      <c r="H246" s="276"/>
      <c r="I246" s="326">
        <f>+Linkin!I143+Linkin!I144</f>
        <v>167880263</v>
      </c>
      <c r="K246" s="207">
        <f t="shared" si="147"/>
        <v>0</v>
      </c>
      <c r="M246" s="207">
        <f t="shared" si="148"/>
        <v>0</v>
      </c>
      <c r="N246" s="207"/>
      <c r="O246" s="207">
        <f t="shared" si="149"/>
        <v>0</v>
      </c>
      <c r="P246" s="207"/>
      <c r="Q246" s="207">
        <f t="shared" si="150"/>
        <v>0</v>
      </c>
      <c r="R246" s="207"/>
      <c r="S246" s="207">
        <f t="shared" si="151"/>
        <v>0</v>
      </c>
      <c r="T246" s="207"/>
      <c r="U246" s="216">
        <f t="shared" si="152"/>
        <v>0</v>
      </c>
      <c r="V246" s="207"/>
      <c r="W246" s="207">
        <f t="shared" si="153"/>
        <v>145166063</v>
      </c>
      <c r="X246" s="207"/>
      <c r="Y246" s="207">
        <f t="shared" si="154"/>
        <v>20716424</v>
      </c>
      <c r="Z246" s="207"/>
      <c r="AA246" s="207">
        <f t="shared" si="155"/>
        <v>1191950</v>
      </c>
      <c r="AB246" s="207"/>
      <c r="AC246" s="207">
        <f t="shared" si="156"/>
        <v>554005</v>
      </c>
      <c r="AD246" s="207"/>
      <c r="AE246" s="207">
        <f t="shared" si="157"/>
        <v>117516</v>
      </c>
      <c r="AF246" s="207"/>
      <c r="AG246" s="207">
        <f t="shared" si="158"/>
        <v>134304</v>
      </c>
      <c r="AI246" s="208">
        <f t="shared" si="146"/>
        <v>-1</v>
      </c>
    </row>
    <row r="247" spans="1:104" ht="15" customHeight="1">
      <c r="C247" s="210">
        <v>381</v>
      </c>
      <c r="E247" s="324" t="s">
        <v>294</v>
      </c>
      <c r="F247" s="276"/>
      <c r="G247" s="325">
        <v>6</v>
      </c>
      <c r="H247" s="276"/>
      <c r="I247" s="326">
        <f>+Linkin!I145+Linkin!I146</f>
        <v>27157497</v>
      </c>
      <c r="K247" s="207">
        <f t="shared" si="147"/>
        <v>0</v>
      </c>
      <c r="M247" s="207">
        <f t="shared" si="148"/>
        <v>0</v>
      </c>
      <c r="N247" s="207"/>
      <c r="O247" s="207">
        <f t="shared" si="149"/>
        <v>0</v>
      </c>
      <c r="P247" s="207"/>
      <c r="Q247" s="207">
        <f t="shared" si="150"/>
        <v>0</v>
      </c>
      <c r="R247" s="207"/>
      <c r="S247" s="207">
        <f t="shared" si="151"/>
        <v>0</v>
      </c>
      <c r="T247" s="207"/>
      <c r="U247" s="216">
        <f t="shared" si="152"/>
        <v>0</v>
      </c>
      <c r="V247" s="207"/>
      <c r="W247" s="207">
        <f t="shared" si="153"/>
        <v>11422443</v>
      </c>
      <c r="X247" s="207"/>
      <c r="Y247" s="207">
        <f t="shared" si="154"/>
        <v>8883217</v>
      </c>
      <c r="Z247" s="207"/>
      <c r="AA247" s="207">
        <f t="shared" si="155"/>
        <v>4524439</v>
      </c>
      <c r="AB247" s="207"/>
      <c r="AC247" s="207">
        <f t="shared" si="156"/>
        <v>1816837</v>
      </c>
      <c r="AD247" s="207"/>
      <c r="AE247" s="207">
        <f t="shared" si="157"/>
        <v>76041</v>
      </c>
      <c r="AF247" s="207"/>
      <c r="AG247" s="207">
        <f t="shared" si="158"/>
        <v>434520</v>
      </c>
      <c r="AI247" s="208">
        <f t="shared" si="146"/>
        <v>0</v>
      </c>
    </row>
    <row r="248" spans="1:104" ht="15" customHeight="1">
      <c r="C248" s="210">
        <v>382</v>
      </c>
      <c r="E248" s="324" t="s">
        <v>295</v>
      </c>
      <c r="F248" s="276"/>
      <c r="G248" s="325">
        <v>6</v>
      </c>
      <c r="H248" s="276"/>
      <c r="I248" s="326">
        <v>0</v>
      </c>
      <c r="K248" s="207">
        <f t="shared" si="147"/>
        <v>0</v>
      </c>
      <c r="M248" s="207">
        <f t="shared" si="148"/>
        <v>0</v>
      </c>
      <c r="N248" s="207"/>
      <c r="O248" s="207">
        <f t="shared" si="149"/>
        <v>0</v>
      </c>
      <c r="P248" s="207"/>
      <c r="Q248" s="207">
        <f t="shared" si="150"/>
        <v>0</v>
      </c>
      <c r="R248" s="207"/>
      <c r="S248" s="207">
        <f t="shared" si="151"/>
        <v>0</v>
      </c>
      <c r="T248" s="207"/>
      <c r="U248" s="216">
        <f t="shared" si="152"/>
        <v>0</v>
      </c>
      <c r="V248" s="207"/>
      <c r="W248" s="207">
        <f t="shared" si="153"/>
        <v>0</v>
      </c>
      <c r="X248" s="207"/>
      <c r="Y248" s="207">
        <f t="shared" si="154"/>
        <v>0</v>
      </c>
      <c r="Z248" s="207"/>
      <c r="AA248" s="207">
        <f t="shared" si="155"/>
        <v>0</v>
      </c>
      <c r="AB248" s="207"/>
      <c r="AC248" s="207">
        <f t="shared" si="156"/>
        <v>0</v>
      </c>
      <c r="AD248" s="207"/>
      <c r="AE248" s="207">
        <f t="shared" si="157"/>
        <v>0</v>
      </c>
      <c r="AF248" s="207"/>
      <c r="AG248" s="207">
        <f t="shared" si="158"/>
        <v>0</v>
      </c>
      <c r="AI248" s="208">
        <f t="shared" si="146"/>
        <v>0</v>
      </c>
    </row>
    <row r="249" spans="1:104" ht="15" customHeight="1">
      <c r="C249" s="210">
        <v>383</v>
      </c>
      <c r="E249" s="276" t="s">
        <v>162</v>
      </c>
      <c r="F249" s="276"/>
      <c r="G249" s="478" t="s">
        <v>305</v>
      </c>
      <c r="H249" s="276"/>
      <c r="I249" s="326">
        <f>+Linkin!I147</f>
        <v>983231</v>
      </c>
      <c r="K249" s="207">
        <f t="shared" si="147"/>
        <v>0</v>
      </c>
      <c r="M249" s="207">
        <f t="shared" si="148"/>
        <v>0</v>
      </c>
      <c r="N249" s="207"/>
      <c r="O249" s="207">
        <f t="shared" si="149"/>
        <v>0</v>
      </c>
      <c r="P249" s="207"/>
      <c r="Q249" s="207">
        <f t="shared" si="150"/>
        <v>0</v>
      </c>
      <c r="R249" s="207"/>
      <c r="S249" s="207">
        <f t="shared" si="151"/>
        <v>0</v>
      </c>
      <c r="T249" s="207"/>
      <c r="U249" s="216">
        <f t="shared" si="152"/>
        <v>0</v>
      </c>
      <c r="V249" s="207"/>
      <c r="W249" s="207">
        <f t="shared" si="153"/>
        <v>860229</v>
      </c>
      <c r="X249" s="207"/>
      <c r="Y249" s="207">
        <f t="shared" si="154"/>
        <v>123002</v>
      </c>
      <c r="Z249" s="207"/>
      <c r="AA249" s="207">
        <f t="shared" si="155"/>
        <v>0</v>
      </c>
      <c r="AB249" s="207"/>
      <c r="AC249" s="207">
        <f t="shared" si="156"/>
        <v>0</v>
      </c>
      <c r="AD249" s="207"/>
      <c r="AE249" s="207">
        <f t="shared" si="157"/>
        <v>0</v>
      </c>
      <c r="AF249" s="207"/>
      <c r="AG249" s="207">
        <f t="shared" si="158"/>
        <v>0</v>
      </c>
      <c r="AI249" s="208">
        <f t="shared" si="146"/>
        <v>0</v>
      </c>
    </row>
    <row r="250" spans="1:104" s="54" customFormat="1" ht="15" customHeight="1">
      <c r="A250" s="206">
        <f>SUM(I247:I250)</f>
        <v>29510424</v>
      </c>
      <c r="B250" s="200"/>
      <c r="C250" s="210">
        <v>384</v>
      </c>
      <c r="D250" s="200"/>
      <c r="E250" s="276" t="s">
        <v>163</v>
      </c>
      <c r="F250" s="276"/>
      <c r="G250" s="478" t="s">
        <v>305</v>
      </c>
      <c r="H250" s="276"/>
      <c r="I250" s="326">
        <f>+Linkin!I148</f>
        <v>1369696</v>
      </c>
      <c r="J250" s="200"/>
      <c r="K250" s="207">
        <f t="shared" si="147"/>
        <v>0</v>
      </c>
      <c r="L250" s="200"/>
      <c r="M250" s="207">
        <f t="shared" si="148"/>
        <v>0</v>
      </c>
      <c r="N250" s="207"/>
      <c r="O250" s="207">
        <f t="shared" si="149"/>
        <v>0</v>
      </c>
      <c r="P250" s="207"/>
      <c r="Q250" s="207">
        <f t="shared" si="150"/>
        <v>0</v>
      </c>
      <c r="R250" s="207"/>
      <c r="S250" s="207">
        <f t="shared" si="151"/>
        <v>0</v>
      </c>
      <c r="T250" s="207"/>
      <c r="U250" s="216">
        <f t="shared" si="152"/>
        <v>0</v>
      </c>
      <c r="V250" s="207"/>
      <c r="W250" s="207">
        <f t="shared" si="153"/>
        <v>1198347</v>
      </c>
      <c r="X250" s="207"/>
      <c r="Y250" s="207">
        <f t="shared" si="154"/>
        <v>171349</v>
      </c>
      <c r="Z250" s="207"/>
      <c r="AA250" s="207">
        <f t="shared" si="155"/>
        <v>0</v>
      </c>
      <c r="AB250" s="207"/>
      <c r="AC250" s="207">
        <f t="shared" si="156"/>
        <v>0</v>
      </c>
      <c r="AD250" s="207"/>
      <c r="AE250" s="207">
        <f t="shared" si="157"/>
        <v>0</v>
      </c>
      <c r="AF250" s="207"/>
      <c r="AG250" s="207">
        <f t="shared" si="158"/>
        <v>0</v>
      </c>
      <c r="AH250" s="200"/>
      <c r="AI250" s="208">
        <f t="shared" si="146"/>
        <v>0</v>
      </c>
      <c r="AJ250" s="200"/>
      <c r="AK250" s="200"/>
    </row>
    <row r="251" spans="1:104" s="54" customFormat="1" ht="15" customHeight="1">
      <c r="A251" s="200"/>
      <c r="B251" s="200"/>
      <c r="C251" s="210">
        <v>385</v>
      </c>
      <c r="D251" s="200"/>
      <c r="E251" s="276" t="s">
        <v>164</v>
      </c>
      <c r="F251" s="276"/>
      <c r="G251" s="325" t="s">
        <v>330</v>
      </c>
      <c r="H251" s="276"/>
      <c r="I251" s="326">
        <f>+Linkin!I149</f>
        <v>6431544</v>
      </c>
      <c r="J251" s="200"/>
      <c r="K251" s="207">
        <f t="shared" si="147"/>
        <v>0</v>
      </c>
      <c r="L251" s="200"/>
      <c r="M251" s="207">
        <f t="shared" si="148"/>
        <v>0</v>
      </c>
      <c r="N251" s="207"/>
      <c r="O251" s="207">
        <f t="shared" si="149"/>
        <v>0</v>
      </c>
      <c r="P251" s="207"/>
      <c r="Q251" s="207">
        <f t="shared" si="150"/>
        <v>0</v>
      </c>
      <c r="R251" s="207"/>
      <c r="S251" s="207">
        <f t="shared" si="151"/>
        <v>0</v>
      </c>
      <c r="T251" s="207"/>
      <c r="U251" s="216">
        <f t="shared" si="152"/>
        <v>0</v>
      </c>
      <c r="V251" s="207"/>
      <c r="W251" s="207">
        <f t="shared" si="153"/>
        <v>0</v>
      </c>
      <c r="X251" s="207"/>
      <c r="Y251" s="207">
        <f t="shared" si="154"/>
        <v>0</v>
      </c>
      <c r="Z251" s="207"/>
      <c r="AA251" s="207">
        <f t="shared" si="155"/>
        <v>0</v>
      </c>
      <c r="AB251" s="207"/>
      <c r="AC251" s="207">
        <f t="shared" si="156"/>
        <v>3861499</v>
      </c>
      <c r="AD251" s="207"/>
      <c r="AE251" s="207">
        <f t="shared" si="157"/>
        <v>1393072</v>
      </c>
      <c r="AF251" s="207"/>
      <c r="AG251" s="207">
        <f t="shared" si="158"/>
        <v>1176973</v>
      </c>
      <c r="AH251" s="200"/>
      <c r="AI251" s="208">
        <f t="shared" si="146"/>
        <v>0</v>
      </c>
      <c r="AJ251" s="200"/>
      <c r="AK251" s="200"/>
    </row>
    <row r="252" spans="1:104" s="54" customFormat="1" ht="15" customHeight="1">
      <c r="A252" s="200"/>
      <c r="B252" s="200"/>
      <c r="C252" s="325">
        <v>386</v>
      </c>
      <c r="D252" s="276"/>
      <c r="E252" s="276" t="s">
        <v>39</v>
      </c>
      <c r="F252" s="276"/>
      <c r="G252" s="325">
        <v>6</v>
      </c>
      <c r="H252" s="276"/>
      <c r="I252" s="326">
        <v>0</v>
      </c>
      <c r="J252" s="200"/>
      <c r="K252" s="207">
        <f t="shared" si="147"/>
        <v>0</v>
      </c>
      <c r="L252" s="200"/>
      <c r="M252" s="207">
        <f t="shared" si="148"/>
        <v>0</v>
      </c>
      <c r="N252" s="207"/>
      <c r="O252" s="207">
        <f t="shared" si="149"/>
        <v>0</v>
      </c>
      <c r="P252" s="207"/>
      <c r="Q252" s="207">
        <f t="shared" si="150"/>
        <v>0</v>
      </c>
      <c r="R252" s="207"/>
      <c r="S252" s="207">
        <f t="shared" si="151"/>
        <v>0</v>
      </c>
      <c r="T252" s="207"/>
      <c r="U252" s="216">
        <f t="shared" si="152"/>
        <v>0</v>
      </c>
      <c r="V252" s="207"/>
      <c r="W252" s="207">
        <f t="shared" si="153"/>
        <v>0</v>
      </c>
      <c r="X252" s="207"/>
      <c r="Y252" s="207">
        <f t="shared" si="154"/>
        <v>0</v>
      </c>
      <c r="Z252" s="207"/>
      <c r="AA252" s="207">
        <f t="shared" si="155"/>
        <v>0</v>
      </c>
      <c r="AB252" s="207"/>
      <c r="AC252" s="207">
        <f t="shared" si="156"/>
        <v>0</v>
      </c>
      <c r="AD252" s="207"/>
      <c r="AE252" s="207">
        <f t="shared" si="157"/>
        <v>0</v>
      </c>
      <c r="AF252" s="207"/>
      <c r="AG252" s="207">
        <f t="shared" si="158"/>
        <v>0</v>
      </c>
      <c r="AH252" s="200"/>
      <c r="AI252" s="208">
        <f t="shared" si="146"/>
        <v>0</v>
      </c>
      <c r="AJ252" s="200"/>
      <c r="AK252" s="200"/>
    </row>
    <row r="253" spans="1:104" s="54" customFormat="1" ht="15" customHeight="1">
      <c r="A253" s="200"/>
      <c r="B253" s="200"/>
      <c r="C253" s="325">
        <v>386</v>
      </c>
      <c r="D253" s="276"/>
      <c r="E253" s="276" t="s">
        <v>419</v>
      </c>
      <c r="F253" s="276"/>
      <c r="G253" s="325">
        <v>6</v>
      </c>
      <c r="H253" s="276"/>
      <c r="I253" s="326">
        <v>0</v>
      </c>
      <c r="J253" s="200"/>
      <c r="K253" s="207">
        <f t="shared" si="147"/>
        <v>0</v>
      </c>
      <c r="L253" s="200"/>
      <c r="M253" s="207">
        <f t="shared" si="148"/>
        <v>0</v>
      </c>
      <c r="N253" s="207"/>
      <c r="O253" s="207">
        <f t="shared" si="149"/>
        <v>0</v>
      </c>
      <c r="P253" s="207"/>
      <c r="Q253" s="207">
        <f t="shared" si="150"/>
        <v>0</v>
      </c>
      <c r="R253" s="207"/>
      <c r="S253" s="207">
        <f t="shared" si="151"/>
        <v>0</v>
      </c>
      <c r="T253" s="207"/>
      <c r="U253" s="216">
        <f t="shared" si="152"/>
        <v>0</v>
      </c>
      <c r="V253" s="207"/>
      <c r="W253" s="207">
        <f t="shared" si="153"/>
        <v>0</v>
      </c>
      <c r="X253" s="207"/>
      <c r="Y253" s="207">
        <f t="shared" si="154"/>
        <v>0</v>
      </c>
      <c r="Z253" s="207"/>
      <c r="AA253" s="207">
        <f t="shared" si="155"/>
        <v>0</v>
      </c>
      <c r="AB253" s="207"/>
      <c r="AC253" s="207">
        <f t="shared" si="156"/>
        <v>0</v>
      </c>
      <c r="AD253" s="207"/>
      <c r="AE253" s="207">
        <f t="shared" si="157"/>
        <v>0</v>
      </c>
      <c r="AF253" s="207"/>
      <c r="AG253" s="207">
        <f t="shared" si="158"/>
        <v>0</v>
      </c>
      <c r="AH253" s="200"/>
      <c r="AI253" s="208">
        <f t="shared" si="146"/>
        <v>0</v>
      </c>
      <c r="AJ253" s="200"/>
      <c r="AK253" s="200"/>
    </row>
    <row r="254" spans="1:104" s="54" customFormat="1" ht="15" customHeight="1">
      <c r="A254" s="200"/>
      <c r="B254" s="200"/>
      <c r="C254" s="325">
        <v>386</v>
      </c>
      <c r="D254" s="276"/>
      <c r="E254" s="276" t="s">
        <v>421</v>
      </c>
      <c r="F254" s="276"/>
      <c r="G254" s="325">
        <v>6</v>
      </c>
      <c r="H254" s="276"/>
      <c r="I254" s="326">
        <v>0</v>
      </c>
      <c r="J254" s="200"/>
      <c r="K254" s="207">
        <f t="shared" si="147"/>
        <v>0</v>
      </c>
      <c r="L254" s="200"/>
      <c r="M254" s="207">
        <f t="shared" si="148"/>
        <v>0</v>
      </c>
      <c r="N254" s="207"/>
      <c r="O254" s="207">
        <f t="shared" si="149"/>
        <v>0</v>
      </c>
      <c r="P254" s="207"/>
      <c r="Q254" s="207">
        <f t="shared" si="150"/>
        <v>0</v>
      </c>
      <c r="R254" s="207"/>
      <c r="S254" s="207">
        <f t="shared" si="151"/>
        <v>0</v>
      </c>
      <c r="T254" s="207"/>
      <c r="U254" s="216">
        <f t="shared" si="152"/>
        <v>0</v>
      </c>
      <c r="V254" s="207"/>
      <c r="W254" s="207">
        <f t="shared" si="153"/>
        <v>0</v>
      </c>
      <c r="X254" s="207"/>
      <c r="Y254" s="207">
        <f t="shared" si="154"/>
        <v>0</v>
      </c>
      <c r="Z254" s="207"/>
      <c r="AA254" s="207">
        <f t="shared" si="155"/>
        <v>0</v>
      </c>
      <c r="AB254" s="207"/>
      <c r="AC254" s="207">
        <f t="shared" si="156"/>
        <v>0</v>
      </c>
      <c r="AD254" s="207"/>
      <c r="AE254" s="207">
        <f t="shared" si="157"/>
        <v>0</v>
      </c>
      <c r="AF254" s="207"/>
      <c r="AG254" s="207">
        <f t="shared" si="158"/>
        <v>0</v>
      </c>
      <c r="AH254" s="200"/>
      <c r="AI254" s="208">
        <f t="shared" si="146"/>
        <v>0</v>
      </c>
      <c r="AJ254" s="200"/>
      <c r="AK254" s="200"/>
    </row>
    <row r="255" spans="1:104" s="54" customFormat="1" ht="15" customHeight="1">
      <c r="A255" s="200"/>
      <c r="B255" s="200"/>
      <c r="C255" s="325">
        <v>386</v>
      </c>
      <c r="D255" s="276"/>
      <c r="E255" s="276" t="s">
        <v>422</v>
      </c>
      <c r="F255" s="276"/>
      <c r="G255" s="325">
        <v>6</v>
      </c>
      <c r="H255" s="276"/>
      <c r="I255" s="326">
        <v>0</v>
      </c>
      <c r="J255" s="200"/>
      <c r="K255" s="207">
        <f t="shared" si="147"/>
        <v>0</v>
      </c>
      <c r="L255" s="200"/>
      <c r="M255" s="207">
        <f t="shared" si="148"/>
        <v>0</v>
      </c>
      <c r="N255" s="207"/>
      <c r="O255" s="207">
        <f t="shared" si="149"/>
        <v>0</v>
      </c>
      <c r="P255" s="207"/>
      <c r="Q255" s="207">
        <f t="shared" si="150"/>
        <v>0</v>
      </c>
      <c r="R255" s="207"/>
      <c r="S255" s="207">
        <f t="shared" si="151"/>
        <v>0</v>
      </c>
      <c r="T255" s="207"/>
      <c r="U255" s="216">
        <f t="shared" si="152"/>
        <v>0</v>
      </c>
      <c r="V255" s="207"/>
      <c r="W255" s="207">
        <f t="shared" si="153"/>
        <v>0</v>
      </c>
      <c r="X255" s="207"/>
      <c r="Y255" s="207">
        <f t="shared" si="154"/>
        <v>0</v>
      </c>
      <c r="Z255" s="207"/>
      <c r="AA255" s="207">
        <f t="shared" si="155"/>
        <v>0</v>
      </c>
      <c r="AB255" s="207"/>
      <c r="AC255" s="207">
        <f t="shared" si="156"/>
        <v>0</v>
      </c>
      <c r="AD255" s="207"/>
      <c r="AE255" s="207">
        <f t="shared" si="157"/>
        <v>0</v>
      </c>
      <c r="AF255" s="207"/>
      <c r="AG255" s="207">
        <f t="shared" si="158"/>
        <v>0</v>
      </c>
      <c r="AH255" s="200"/>
      <c r="AI255" s="208">
        <f t="shared" si="146"/>
        <v>0</v>
      </c>
      <c r="AJ255" s="200"/>
      <c r="AK255" s="200"/>
    </row>
    <row r="256" spans="1:104" s="36" customFormat="1" ht="15" customHeight="1">
      <c r="A256" s="201"/>
      <c r="B256" s="201"/>
      <c r="C256" s="215">
        <v>387</v>
      </c>
      <c r="D256" s="201"/>
      <c r="E256" s="308" t="s">
        <v>241</v>
      </c>
      <c r="F256" s="308"/>
      <c r="G256" s="481">
        <v>10</v>
      </c>
      <c r="H256" s="308"/>
      <c r="I256" s="326">
        <f>+Linkin!I150</f>
        <v>42723</v>
      </c>
      <c r="J256" s="201"/>
      <c r="K256" s="214">
        <f t="shared" si="147"/>
        <v>8622</v>
      </c>
      <c r="L256" s="201"/>
      <c r="M256" s="214">
        <f t="shared" si="148"/>
        <v>3584</v>
      </c>
      <c r="N256" s="201"/>
      <c r="O256" s="214">
        <f t="shared" si="149"/>
        <v>1572</v>
      </c>
      <c r="P256" s="214"/>
      <c r="Q256" s="214">
        <f t="shared" si="150"/>
        <v>1166</v>
      </c>
      <c r="R256" s="201"/>
      <c r="S256" s="214">
        <f t="shared" si="151"/>
        <v>5255</v>
      </c>
      <c r="T256" s="214"/>
      <c r="U256" s="360">
        <f t="shared" si="152"/>
        <v>145</v>
      </c>
      <c r="V256" s="201"/>
      <c r="W256" s="214">
        <f t="shared" si="153"/>
        <v>15594</v>
      </c>
      <c r="X256" s="201"/>
      <c r="Y256" s="214">
        <f t="shared" si="154"/>
        <v>4302</v>
      </c>
      <c r="Z256" s="201"/>
      <c r="AA256" s="214">
        <f t="shared" si="155"/>
        <v>1397</v>
      </c>
      <c r="AB256" s="214"/>
      <c r="AC256" s="214">
        <f t="shared" si="156"/>
        <v>778</v>
      </c>
      <c r="AD256" s="201"/>
      <c r="AE256" s="214">
        <f t="shared" si="157"/>
        <v>107</v>
      </c>
      <c r="AF256" s="201"/>
      <c r="AG256" s="214">
        <f t="shared" si="158"/>
        <v>201</v>
      </c>
      <c r="AH256" s="201"/>
      <c r="AI256" s="208">
        <f t="shared" si="146"/>
        <v>0</v>
      </c>
      <c r="AJ256" s="201"/>
      <c r="AK256" s="201"/>
    </row>
    <row r="257" spans="1:47" ht="15" customHeight="1">
      <c r="C257" s="215">
        <v>387</v>
      </c>
      <c r="D257" s="201"/>
      <c r="E257" s="308" t="s">
        <v>423</v>
      </c>
      <c r="F257" s="276"/>
      <c r="G257" s="325">
        <v>10</v>
      </c>
      <c r="H257" s="276"/>
      <c r="I257" s="326">
        <v>0</v>
      </c>
      <c r="K257" s="214">
        <f t="shared" si="147"/>
        <v>0</v>
      </c>
      <c r="L257" s="201"/>
      <c r="M257" s="214">
        <f t="shared" si="148"/>
        <v>0</v>
      </c>
      <c r="N257" s="201"/>
      <c r="O257" s="214">
        <f t="shared" si="149"/>
        <v>0</v>
      </c>
      <c r="P257" s="214"/>
      <c r="Q257" s="214">
        <f t="shared" si="150"/>
        <v>0</v>
      </c>
      <c r="R257" s="201"/>
      <c r="S257" s="214">
        <f t="shared" si="151"/>
        <v>0</v>
      </c>
      <c r="T257" s="214"/>
      <c r="U257" s="360">
        <f t="shared" si="152"/>
        <v>0</v>
      </c>
      <c r="V257" s="201"/>
      <c r="W257" s="214">
        <f t="shared" si="153"/>
        <v>0</v>
      </c>
      <c r="X257" s="201"/>
      <c r="Y257" s="214">
        <f t="shared" si="154"/>
        <v>0</v>
      </c>
      <c r="Z257" s="201"/>
      <c r="AA257" s="214">
        <f t="shared" si="155"/>
        <v>0</v>
      </c>
      <c r="AB257" s="214"/>
      <c r="AC257" s="214">
        <f t="shared" si="156"/>
        <v>0</v>
      </c>
      <c r="AD257" s="201"/>
      <c r="AE257" s="214">
        <f t="shared" si="157"/>
        <v>0</v>
      </c>
      <c r="AF257" s="201"/>
      <c r="AG257" s="214">
        <f t="shared" si="158"/>
        <v>0</v>
      </c>
      <c r="AI257" s="208">
        <f t="shared" si="146"/>
        <v>0</v>
      </c>
    </row>
    <row r="258" spans="1:47" ht="15" customHeight="1">
      <c r="E258" s="276" t="s">
        <v>242</v>
      </c>
      <c r="F258" s="276"/>
      <c r="G258" s="325"/>
      <c r="H258" s="276"/>
      <c r="I258" s="651">
        <f>SUM(I237:I257)</f>
        <v>605454110</v>
      </c>
      <c r="K258" s="337">
        <f>SUM(K237:K257)</f>
        <v>197924947</v>
      </c>
      <c r="M258" s="337">
        <f>SUM(M237:M257)</f>
        <v>82345312</v>
      </c>
      <c r="O258" s="337">
        <f>SUM(O237:O257)</f>
        <v>36112246</v>
      </c>
      <c r="Q258" s="337">
        <f>SUM(Q237:Q257)</f>
        <v>26824148</v>
      </c>
      <c r="S258" s="337">
        <f>SUM(S237:S257)</f>
        <v>55039919.149673641</v>
      </c>
      <c r="T258" s="214"/>
      <c r="U258" s="387">
        <f>SUM(U237:U257)</f>
        <v>3362926</v>
      </c>
      <c r="W258" s="337">
        <f>SUM(W237:W257)</f>
        <v>158662676</v>
      </c>
      <c r="Y258" s="337">
        <f>SUM(Y237:Y257)</f>
        <v>29898294</v>
      </c>
      <c r="AA258" s="337">
        <f>SUM(AA237:AA257)</f>
        <v>5717786</v>
      </c>
      <c r="AC258" s="337">
        <f>SUM(AC237:AC257)</f>
        <v>6233119</v>
      </c>
      <c r="AE258" s="337">
        <f t="shared" ref="AE258" si="159">SUM(AE237:AE257)</f>
        <v>1586736</v>
      </c>
      <c r="AG258" s="337">
        <f t="shared" ref="AG258" si="160">SUM(AG237:AG257)</f>
        <v>1745998</v>
      </c>
      <c r="AI258" s="208">
        <f t="shared" si="146"/>
        <v>-2.8503262996673584</v>
      </c>
    </row>
    <row r="259" spans="1:47" ht="9" customHeight="1">
      <c r="E259" s="276"/>
      <c r="F259" s="276"/>
      <c r="G259" s="325"/>
      <c r="H259" s="276"/>
      <c r="I259" s="361"/>
      <c r="U259" s="216"/>
      <c r="AI259" s="208">
        <f t="shared" si="146"/>
        <v>0</v>
      </c>
    </row>
    <row r="260" spans="1:47" ht="15" customHeight="1">
      <c r="A260" s="396" t="s">
        <v>440</v>
      </c>
      <c r="B260" s="396" t="s">
        <v>441</v>
      </c>
      <c r="C260" s="34" t="s">
        <v>243</v>
      </c>
      <c r="E260" s="276"/>
      <c r="F260" s="276"/>
      <c r="G260" s="325"/>
      <c r="H260" s="276"/>
      <c r="I260" s="361"/>
      <c r="U260" s="216"/>
      <c r="AI260" s="208">
        <f t="shared" si="146"/>
        <v>0</v>
      </c>
    </row>
    <row r="261" spans="1:47" ht="4.9000000000000004" customHeight="1">
      <c r="A261" s="397"/>
      <c r="B261" s="397"/>
      <c r="C261" s="200" t="s">
        <v>218</v>
      </c>
      <c r="E261" s="276" t="s">
        <v>219</v>
      </c>
      <c r="F261" s="276"/>
      <c r="G261" s="325"/>
      <c r="H261" s="276"/>
      <c r="I261" s="361"/>
      <c r="U261" s="216"/>
      <c r="AI261" s="208">
        <f t="shared" si="146"/>
        <v>0</v>
      </c>
    </row>
    <row r="262" spans="1:47" ht="15" customHeight="1">
      <c r="A262" s="397"/>
      <c r="B262" s="397"/>
      <c r="C262" s="210">
        <v>389</v>
      </c>
      <c r="E262" s="324" t="s">
        <v>551</v>
      </c>
      <c r="F262" s="276"/>
      <c r="G262" s="325">
        <v>12</v>
      </c>
      <c r="H262" s="276"/>
      <c r="I262" s="361">
        <f>+Linkin!I178</f>
        <v>770030</v>
      </c>
      <c r="K262" s="207">
        <f t="shared" ref="K262:K270" si="161">ROUND(VLOOKUP($G262,factors,+K$318)*$I262,0)</f>
        <v>164632</v>
      </c>
      <c r="M262" s="207">
        <f t="shared" ref="M262:M270" si="162">ROUND(VLOOKUP($G262,factors,+M$318)*$I262,0)</f>
        <v>62295</v>
      </c>
      <c r="N262" s="207"/>
      <c r="O262" s="207">
        <f t="shared" ref="O262:O270" si="163">ROUND(VLOOKUP($G262,factors,+O$318)*$I262,0)</f>
        <v>27028</v>
      </c>
      <c r="P262" s="207"/>
      <c r="Q262" s="207">
        <f t="shared" ref="Q262:Q270" si="164">ROUND(VLOOKUP($G262,factors,+Q$318)*$I262,0)</f>
        <v>20021</v>
      </c>
      <c r="R262" s="207"/>
      <c r="S262" s="207">
        <f t="shared" ref="S262:S270" si="165">ROUND(VLOOKUP($G262,factors,+S$318)*$I262,0)</f>
        <v>63373</v>
      </c>
      <c r="T262" s="207"/>
      <c r="U262" s="216">
        <f t="shared" ref="U262:U270" si="166">ROUND(VLOOKUP($G262,factors,+U$318)*$I262,0)</f>
        <v>2541</v>
      </c>
      <c r="V262" s="207"/>
      <c r="W262" s="207">
        <f t="shared" ref="W262:W270" si="167">ROUND(VLOOKUP($G262,factors,+W$318)*$I262,0)</f>
        <v>352751</v>
      </c>
      <c r="X262" s="207"/>
      <c r="Y262" s="207">
        <f t="shared" ref="Y262:Y270" si="168">ROUND(VLOOKUP($G262,factors,+Y$318)*$I262,0)</f>
        <v>48358</v>
      </c>
      <c r="Z262" s="207"/>
      <c r="AA262" s="207">
        <f t="shared" ref="AA262:AA270" si="169">ROUND(VLOOKUP($G262,factors,+AA$318)*$I262,0)</f>
        <v>13630</v>
      </c>
      <c r="AB262" s="207"/>
      <c r="AC262" s="207">
        <f t="shared" ref="AC262:AC270" si="170">ROUND(VLOOKUP($G262,factors,+AC$318)*$I262,0)</f>
        <v>10164</v>
      </c>
      <c r="AD262" s="207"/>
      <c r="AE262" s="207">
        <f t="shared" ref="AE262:AE270" si="171">ROUND(VLOOKUP($G262,factors,+AE$318)*$I262,0)</f>
        <v>2387</v>
      </c>
      <c r="AF262" s="207"/>
      <c r="AG262" s="207">
        <f t="shared" ref="AG262:AG270" si="172">ROUND(VLOOKUP($G262,factors,+AG$318)*$I262,0)</f>
        <v>2849</v>
      </c>
      <c r="AI262" s="208">
        <f t="shared" si="146"/>
        <v>-1</v>
      </c>
    </row>
    <row r="263" spans="1:47" ht="15" customHeight="1">
      <c r="A263" s="397"/>
      <c r="B263" s="397"/>
      <c r="C263" s="210">
        <v>390</v>
      </c>
      <c r="E263" s="324" t="s">
        <v>292</v>
      </c>
      <c r="F263" s="276"/>
      <c r="G263" s="325">
        <v>12</v>
      </c>
      <c r="H263" s="276"/>
      <c r="I263" s="361">
        <f>+Linkin!I155</f>
        <v>14997130</v>
      </c>
      <c r="K263" s="207">
        <f t="shared" si="161"/>
        <v>3206386</v>
      </c>
      <c r="M263" s="207">
        <f t="shared" si="162"/>
        <v>1213268</v>
      </c>
      <c r="N263" s="207"/>
      <c r="O263" s="207">
        <f t="shared" si="163"/>
        <v>526399</v>
      </c>
      <c r="P263" s="207"/>
      <c r="Q263" s="207">
        <f t="shared" si="164"/>
        <v>389925</v>
      </c>
      <c r="R263" s="207"/>
      <c r="S263" s="207">
        <f t="shared" si="165"/>
        <v>1234264</v>
      </c>
      <c r="T263" s="207"/>
      <c r="U263" s="216">
        <f t="shared" si="166"/>
        <v>49491</v>
      </c>
      <c r="V263" s="207"/>
      <c r="W263" s="207">
        <f t="shared" si="167"/>
        <v>6870185</v>
      </c>
      <c r="X263" s="207"/>
      <c r="Y263" s="207">
        <f t="shared" si="168"/>
        <v>941820</v>
      </c>
      <c r="Z263" s="207"/>
      <c r="AA263" s="207">
        <f t="shared" si="169"/>
        <v>265449</v>
      </c>
      <c r="AB263" s="207"/>
      <c r="AC263" s="207">
        <f t="shared" si="170"/>
        <v>197962</v>
      </c>
      <c r="AD263" s="207"/>
      <c r="AE263" s="207">
        <f t="shared" si="171"/>
        <v>46491</v>
      </c>
      <c r="AF263" s="207"/>
      <c r="AG263" s="207">
        <f t="shared" si="172"/>
        <v>55489</v>
      </c>
      <c r="AI263" s="208">
        <f t="shared" si="146"/>
        <v>-1</v>
      </c>
    </row>
    <row r="264" spans="1:47" ht="15" customHeight="1">
      <c r="A264" s="398">
        <v>981786</v>
      </c>
      <c r="B264" s="398">
        <v>14355447</v>
      </c>
      <c r="C264" s="210">
        <v>391</v>
      </c>
      <c r="E264" s="324" t="s">
        <v>297</v>
      </c>
      <c r="F264" s="276"/>
      <c r="G264" s="325">
        <v>12</v>
      </c>
      <c r="H264" s="276"/>
      <c r="I264" s="361">
        <f>+Linkin!I156+Linkin!I157+Linkin!I158+Linkin!I159+Linkin!I160</f>
        <v>751838</v>
      </c>
      <c r="K264" s="207">
        <f t="shared" si="161"/>
        <v>160743</v>
      </c>
      <c r="M264" s="207">
        <f t="shared" si="162"/>
        <v>60824</v>
      </c>
      <c r="N264" s="207"/>
      <c r="O264" s="207">
        <f t="shared" si="163"/>
        <v>26390</v>
      </c>
      <c r="P264" s="207"/>
      <c r="Q264" s="207">
        <f t="shared" si="164"/>
        <v>19548</v>
      </c>
      <c r="R264" s="207"/>
      <c r="S264" s="207">
        <f t="shared" si="165"/>
        <v>61876</v>
      </c>
      <c r="T264" s="207"/>
      <c r="U264" s="216">
        <f t="shared" si="166"/>
        <v>2481</v>
      </c>
      <c r="V264" s="207"/>
      <c r="W264" s="207">
        <f t="shared" si="167"/>
        <v>344417</v>
      </c>
      <c r="X264" s="207"/>
      <c r="Y264" s="207">
        <f t="shared" si="168"/>
        <v>47215</v>
      </c>
      <c r="Z264" s="207"/>
      <c r="AA264" s="207">
        <f t="shared" si="169"/>
        <v>13308</v>
      </c>
      <c r="AB264" s="207"/>
      <c r="AC264" s="207">
        <f t="shared" si="170"/>
        <v>9924</v>
      </c>
      <c r="AD264" s="207"/>
      <c r="AE264" s="207">
        <f t="shared" si="171"/>
        <v>2331</v>
      </c>
      <c r="AF264" s="207"/>
      <c r="AG264" s="207">
        <f t="shared" si="172"/>
        <v>2782</v>
      </c>
      <c r="AI264" s="208">
        <f t="shared" si="146"/>
        <v>1</v>
      </c>
    </row>
    <row r="265" spans="1:47" ht="15" customHeight="1">
      <c r="A265" s="398">
        <v>10473</v>
      </c>
      <c r="B265" s="397"/>
      <c r="C265" s="210">
        <v>392</v>
      </c>
      <c r="E265" s="324" t="s">
        <v>298</v>
      </c>
      <c r="F265" s="276"/>
      <c r="G265" s="325">
        <v>12</v>
      </c>
      <c r="H265" s="276"/>
      <c r="I265" s="361">
        <f>+Linkin!I161</f>
        <v>5451763</v>
      </c>
      <c r="K265" s="207">
        <f t="shared" si="161"/>
        <v>1165587</v>
      </c>
      <c r="M265" s="207">
        <f t="shared" si="162"/>
        <v>441048</v>
      </c>
      <c r="N265" s="207"/>
      <c r="O265" s="207">
        <f t="shared" si="163"/>
        <v>191357</v>
      </c>
      <c r="P265" s="207"/>
      <c r="Q265" s="207">
        <f t="shared" si="164"/>
        <v>141746</v>
      </c>
      <c r="R265" s="207"/>
      <c r="S265" s="207">
        <f t="shared" si="165"/>
        <v>448680</v>
      </c>
      <c r="T265" s="207"/>
      <c r="U265" s="216">
        <f t="shared" si="166"/>
        <v>17991</v>
      </c>
      <c r="V265" s="207"/>
      <c r="W265" s="207">
        <f t="shared" si="167"/>
        <v>2497453</v>
      </c>
      <c r="X265" s="207"/>
      <c r="Y265" s="207">
        <f t="shared" si="168"/>
        <v>342371</v>
      </c>
      <c r="Z265" s="207"/>
      <c r="AA265" s="207">
        <f t="shared" si="169"/>
        <v>96496</v>
      </c>
      <c r="AB265" s="207"/>
      <c r="AC265" s="207">
        <f t="shared" si="170"/>
        <v>71963</v>
      </c>
      <c r="AD265" s="207"/>
      <c r="AE265" s="207">
        <f t="shared" si="171"/>
        <v>16900</v>
      </c>
      <c r="AF265" s="207"/>
      <c r="AG265" s="207">
        <f t="shared" si="172"/>
        <v>20172</v>
      </c>
      <c r="AI265" s="208">
        <f t="shared" si="146"/>
        <v>1</v>
      </c>
    </row>
    <row r="266" spans="1:47" ht="15" customHeight="1">
      <c r="C266" s="210">
        <v>394</v>
      </c>
      <c r="E266" s="324" t="s">
        <v>299</v>
      </c>
      <c r="F266" s="276"/>
      <c r="G266" s="325">
        <v>12</v>
      </c>
      <c r="H266" s="276"/>
      <c r="I266" s="361">
        <f>+Linkin!I163</f>
        <v>4607606</v>
      </c>
      <c r="K266" s="207">
        <f t="shared" si="161"/>
        <v>985106</v>
      </c>
      <c r="M266" s="207">
        <f t="shared" si="162"/>
        <v>372755</v>
      </c>
      <c r="N266" s="207"/>
      <c r="O266" s="207">
        <f t="shared" si="163"/>
        <v>161727</v>
      </c>
      <c r="P266" s="207"/>
      <c r="Q266" s="207">
        <f t="shared" si="164"/>
        <v>119798</v>
      </c>
      <c r="R266" s="207"/>
      <c r="S266" s="207">
        <f t="shared" si="165"/>
        <v>379206</v>
      </c>
      <c r="T266" s="207"/>
      <c r="U266" s="216">
        <f t="shared" si="166"/>
        <v>15205</v>
      </c>
      <c r="V266" s="207"/>
      <c r="W266" s="207">
        <f t="shared" si="167"/>
        <v>2110744</v>
      </c>
      <c r="X266" s="207"/>
      <c r="Y266" s="207">
        <f t="shared" si="168"/>
        <v>289358</v>
      </c>
      <c r="Z266" s="207"/>
      <c r="AA266" s="207">
        <f t="shared" si="169"/>
        <v>81555</v>
      </c>
      <c r="AB266" s="207"/>
      <c r="AC266" s="207">
        <f t="shared" si="170"/>
        <v>60820</v>
      </c>
      <c r="AD266" s="207"/>
      <c r="AE266" s="207">
        <f t="shared" si="171"/>
        <v>14284</v>
      </c>
      <c r="AF266" s="207"/>
      <c r="AG266" s="207">
        <f t="shared" si="172"/>
        <v>17048</v>
      </c>
      <c r="AI266" s="208">
        <f t="shared" si="146"/>
        <v>0</v>
      </c>
    </row>
    <row r="267" spans="1:47" ht="15" customHeight="1">
      <c r="C267" s="210">
        <v>396</v>
      </c>
      <c r="E267" s="324" t="s">
        <v>300</v>
      </c>
      <c r="F267" s="276"/>
      <c r="G267" s="325">
        <v>12</v>
      </c>
      <c r="H267" s="276"/>
      <c r="I267" s="361">
        <f>+Linkin!I164</f>
        <v>55057</v>
      </c>
      <c r="K267" s="207">
        <f t="shared" si="161"/>
        <v>11771</v>
      </c>
      <c r="M267" s="207">
        <f t="shared" si="162"/>
        <v>4454</v>
      </c>
      <c r="N267" s="207"/>
      <c r="O267" s="207">
        <f t="shared" si="163"/>
        <v>1933</v>
      </c>
      <c r="P267" s="207"/>
      <c r="Q267" s="207">
        <f t="shared" si="164"/>
        <v>1431</v>
      </c>
      <c r="R267" s="207"/>
      <c r="S267" s="207">
        <f t="shared" si="165"/>
        <v>4531</v>
      </c>
      <c r="T267" s="207"/>
      <c r="U267" s="216">
        <f t="shared" si="166"/>
        <v>182</v>
      </c>
      <c r="V267" s="207"/>
      <c r="W267" s="207">
        <f t="shared" si="167"/>
        <v>25222</v>
      </c>
      <c r="X267" s="207"/>
      <c r="Y267" s="207">
        <f t="shared" si="168"/>
        <v>3458</v>
      </c>
      <c r="Z267" s="207"/>
      <c r="AA267" s="207">
        <f t="shared" si="169"/>
        <v>975</v>
      </c>
      <c r="AB267" s="207"/>
      <c r="AC267" s="207">
        <f t="shared" si="170"/>
        <v>727</v>
      </c>
      <c r="AD267" s="207"/>
      <c r="AE267" s="207">
        <f t="shared" si="171"/>
        <v>171</v>
      </c>
      <c r="AF267" s="207"/>
      <c r="AG267" s="207">
        <f t="shared" si="172"/>
        <v>204</v>
      </c>
      <c r="AI267" s="208">
        <f t="shared" si="146"/>
        <v>2</v>
      </c>
    </row>
    <row r="268" spans="1:47" ht="15" customHeight="1">
      <c r="C268" s="210">
        <v>397</v>
      </c>
      <c r="E268" s="324" t="s">
        <v>301</v>
      </c>
      <c r="F268" s="276"/>
      <c r="G268" s="325">
        <v>12</v>
      </c>
      <c r="H268" s="308"/>
      <c r="I268" s="361">
        <f>+Linkin!I165+Linkin!I166</f>
        <v>8457</v>
      </c>
      <c r="J268" s="201"/>
      <c r="K268" s="213">
        <f t="shared" si="161"/>
        <v>1808</v>
      </c>
      <c r="L268" s="201"/>
      <c r="M268" s="213">
        <f t="shared" si="162"/>
        <v>684</v>
      </c>
      <c r="N268" s="213"/>
      <c r="O268" s="213">
        <f t="shared" si="163"/>
        <v>297</v>
      </c>
      <c r="P268" s="213"/>
      <c r="Q268" s="213">
        <f t="shared" si="164"/>
        <v>220</v>
      </c>
      <c r="R268" s="213"/>
      <c r="S268" s="213">
        <f t="shared" si="165"/>
        <v>696</v>
      </c>
      <c r="T268" s="213"/>
      <c r="U268" s="360">
        <f t="shared" si="166"/>
        <v>28</v>
      </c>
      <c r="V268" s="213"/>
      <c r="W268" s="213">
        <f t="shared" si="167"/>
        <v>3874</v>
      </c>
      <c r="X268" s="213"/>
      <c r="Y268" s="213">
        <f t="shared" si="168"/>
        <v>531</v>
      </c>
      <c r="Z268" s="213"/>
      <c r="AA268" s="213">
        <f t="shared" si="169"/>
        <v>150</v>
      </c>
      <c r="AB268" s="213"/>
      <c r="AC268" s="213">
        <f t="shared" si="170"/>
        <v>112</v>
      </c>
      <c r="AD268" s="213"/>
      <c r="AE268" s="213">
        <f t="shared" si="171"/>
        <v>26</v>
      </c>
      <c r="AF268" s="213"/>
      <c r="AG268" s="213">
        <f t="shared" si="172"/>
        <v>31</v>
      </c>
      <c r="AH268" s="201"/>
      <c r="AI268" s="208">
        <f t="shared" si="146"/>
        <v>0</v>
      </c>
      <c r="AJ268" s="201"/>
      <c r="AK268" s="201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</row>
    <row r="269" spans="1:47" s="54" customFormat="1" ht="15" customHeight="1">
      <c r="A269" s="200"/>
      <c r="B269" s="200"/>
      <c r="C269" s="210">
        <v>398</v>
      </c>
      <c r="D269" s="200"/>
      <c r="E269" s="324" t="s">
        <v>165</v>
      </c>
      <c r="F269" s="276"/>
      <c r="G269" s="325">
        <v>12</v>
      </c>
      <c r="H269" s="308"/>
      <c r="I269" s="361">
        <f>+Linkin!I167+Linkin!I162</f>
        <v>426920</v>
      </c>
      <c r="J269" s="201"/>
      <c r="K269" s="213">
        <f t="shared" si="161"/>
        <v>91275</v>
      </c>
      <c r="L269" s="201"/>
      <c r="M269" s="213">
        <f t="shared" si="162"/>
        <v>34538</v>
      </c>
      <c r="N269" s="213"/>
      <c r="O269" s="213">
        <f t="shared" si="163"/>
        <v>14985</v>
      </c>
      <c r="P269" s="213"/>
      <c r="Q269" s="213">
        <f t="shared" si="164"/>
        <v>11100</v>
      </c>
      <c r="R269" s="213"/>
      <c r="S269" s="213">
        <f t="shared" si="165"/>
        <v>35136</v>
      </c>
      <c r="T269" s="213"/>
      <c r="U269" s="360">
        <f t="shared" si="166"/>
        <v>1409</v>
      </c>
      <c r="V269" s="213"/>
      <c r="W269" s="213">
        <f t="shared" si="167"/>
        <v>195572</v>
      </c>
      <c r="X269" s="213"/>
      <c r="Y269" s="213">
        <f t="shared" si="168"/>
        <v>26811</v>
      </c>
      <c r="Z269" s="213"/>
      <c r="AA269" s="213">
        <f t="shared" si="169"/>
        <v>7556</v>
      </c>
      <c r="AB269" s="213"/>
      <c r="AC269" s="213">
        <f t="shared" si="170"/>
        <v>5635</v>
      </c>
      <c r="AD269" s="213"/>
      <c r="AE269" s="213">
        <f t="shared" si="171"/>
        <v>1323</v>
      </c>
      <c r="AF269" s="213"/>
      <c r="AG269" s="213">
        <f t="shared" si="172"/>
        <v>1580</v>
      </c>
      <c r="AH269" s="201"/>
      <c r="AI269" s="208">
        <f t="shared" si="146"/>
        <v>0</v>
      </c>
      <c r="AJ269" s="201"/>
      <c r="AK269" s="201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</row>
    <row r="270" spans="1:47" s="54" customFormat="1" ht="15" customHeight="1">
      <c r="A270" s="200"/>
      <c r="B270" s="200"/>
      <c r="C270" s="210">
        <v>399</v>
      </c>
      <c r="D270" s="200"/>
      <c r="E270" s="324" t="s">
        <v>40</v>
      </c>
      <c r="F270" s="276"/>
      <c r="G270" s="325">
        <v>12</v>
      </c>
      <c r="H270" s="308"/>
      <c r="I270" s="479"/>
      <c r="J270" s="201"/>
      <c r="K270" s="212">
        <f t="shared" si="161"/>
        <v>0</v>
      </c>
      <c r="L270" s="201"/>
      <c r="M270" s="212">
        <f t="shared" si="162"/>
        <v>0</v>
      </c>
      <c r="N270" s="213"/>
      <c r="O270" s="212">
        <f t="shared" si="163"/>
        <v>0</v>
      </c>
      <c r="P270" s="213"/>
      <c r="Q270" s="212">
        <f t="shared" si="164"/>
        <v>0</v>
      </c>
      <c r="R270" s="213"/>
      <c r="S270" s="212">
        <f t="shared" si="165"/>
        <v>0</v>
      </c>
      <c r="T270" s="213"/>
      <c r="U270" s="388">
        <f t="shared" si="166"/>
        <v>0</v>
      </c>
      <c r="V270" s="213"/>
      <c r="W270" s="212">
        <f t="shared" si="167"/>
        <v>0</v>
      </c>
      <c r="X270" s="213"/>
      <c r="Y270" s="212">
        <f t="shared" si="168"/>
        <v>0</v>
      </c>
      <c r="Z270" s="213"/>
      <c r="AA270" s="212">
        <f t="shared" si="169"/>
        <v>0</v>
      </c>
      <c r="AB270" s="213"/>
      <c r="AC270" s="212">
        <f t="shared" si="170"/>
        <v>0</v>
      </c>
      <c r="AD270" s="213"/>
      <c r="AE270" s="212">
        <f t="shared" si="171"/>
        <v>0</v>
      </c>
      <c r="AF270" s="213"/>
      <c r="AG270" s="212">
        <f t="shared" si="172"/>
        <v>0</v>
      </c>
      <c r="AH270" s="201"/>
      <c r="AI270" s="208">
        <f t="shared" si="146"/>
        <v>0</v>
      </c>
      <c r="AJ270" s="201"/>
      <c r="AK270" s="201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</row>
    <row r="271" spans="1:47" ht="15" customHeight="1">
      <c r="E271" s="276" t="s">
        <v>244</v>
      </c>
      <c r="F271" s="276"/>
      <c r="G271" s="325"/>
      <c r="H271" s="276"/>
      <c r="I271" s="479">
        <f>SUM(I262:I270)</f>
        <v>27068801</v>
      </c>
      <c r="K271" s="211">
        <f>SUM(K262:K270)</f>
        <v>5787308</v>
      </c>
      <c r="M271" s="211">
        <f>SUM(M262:M270)</f>
        <v>2189866</v>
      </c>
      <c r="O271" s="211">
        <f>SUM(O262:O270)</f>
        <v>950116</v>
      </c>
      <c r="P271" s="214"/>
      <c r="Q271" s="211">
        <f>SUM(Q262:Q270)</f>
        <v>703789</v>
      </c>
      <c r="S271" s="211">
        <f>SUM(S262:S270)</f>
        <v>2227762</v>
      </c>
      <c r="T271" s="214"/>
      <c r="U271" s="388">
        <f>SUM(U262:U270)</f>
        <v>89328</v>
      </c>
      <c r="W271" s="211">
        <f>SUM(W262:W270)</f>
        <v>12400218</v>
      </c>
      <c r="Y271" s="211">
        <f>SUM(Y262:Y270)</f>
        <v>1699922</v>
      </c>
      <c r="AA271" s="211">
        <f>SUM(AA262:AA270)</f>
        <v>479119</v>
      </c>
      <c r="AB271" s="214"/>
      <c r="AC271" s="211">
        <f>SUM(AC262:AC270)</f>
        <v>357307</v>
      </c>
      <c r="AE271" s="211">
        <f>SUM(AE262:AE270)</f>
        <v>83913</v>
      </c>
      <c r="AG271" s="211">
        <f>SUM(AG262:AG270)</f>
        <v>100155</v>
      </c>
      <c r="AI271" s="208">
        <f t="shared" si="146"/>
        <v>2</v>
      </c>
    </row>
    <row r="272" spans="1:47" ht="10.9" customHeight="1">
      <c r="E272" s="276"/>
      <c r="F272" s="276"/>
      <c r="G272" s="325"/>
      <c r="H272" s="276"/>
      <c r="I272" s="361"/>
      <c r="U272" s="216"/>
      <c r="AI272" s="208">
        <f t="shared" si="146"/>
        <v>0</v>
      </c>
    </row>
    <row r="273" spans="3:35" ht="15" customHeight="1">
      <c r="E273" s="276" t="s">
        <v>166</v>
      </c>
      <c r="F273" s="276"/>
      <c r="G273" s="325"/>
      <c r="H273" s="276"/>
      <c r="I273" s="479">
        <f>+I258+I271</f>
        <v>632522911</v>
      </c>
      <c r="K273" s="211">
        <f>+K258+K271</f>
        <v>203712255</v>
      </c>
      <c r="M273" s="211">
        <f>+M258+M271</f>
        <v>84535178</v>
      </c>
      <c r="O273" s="211">
        <f>+O258+O271</f>
        <v>37062362</v>
      </c>
      <c r="Q273" s="211">
        <f>+Q258+Q271</f>
        <v>27527937</v>
      </c>
      <c r="S273" s="211">
        <f>+S258+S271</f>
        <v>57267681.149673641</v>
      </c>
      <c r="T273" s="214"/>
      <c r="U273" s="388">
        <f>+U258+U271</f>
        <v>3452254</v>
      </c>
      <c r="W273" s="211">
        <f>+W258+W271</f>
        <v>171062894</v>
      </c>
      <c r="Y273" s="211">
        <f>+Y258+Y271</f>
        <v>31598216</v>
      </c>
      <c r="AA273" s="211">
        <f>+AA258+AA271</f>
        <v>6196905</v>
      </c>
      <c r="AC273" s="211">
        <f>+AC258+AC271</f>
        <v>6590426</v>
      </c>
      <c r="AE273" s="211">
        <f>+AE258+AE271</f>
        <v>1670649</v>
      </c>
      <c r="AG273" s="211">
        <f>+AG258+AG271</f>
        <v>1846153</v>
      </c>
      <c r="AH273" s="206"/>
      <c r="AI273" s="208">
        <f t="shared" si="146"/>
        <v>-0.8503262996673584</v>
      </c>
    </row>
    <row r="274" spans="3:35" ht="10.9" customHeight="1">
      <c r="E274" s="276"/>
      <c r="F274" s="276"/>
      <c r="G274" s="325"/>
      <c r="H274" s="276"/>
      <c r="I274" s="483"/>
      <c r="K274" s="214"/>
      <c r="M274" s="214"/>
      <c r="O274" s="214"/>
      <c r="Q274" s="214"/>
      <c r="S274" s="214"/>
      <c r="T274" s="214"/>
      <c r="U274" s="360"/>
      <c r="W274" s="214"/>
      <c r="Y274" s="214"/>
      <c r="AA274" s="214"/>
      <c r="AC274" s="214"/>
      <c r="AE274" s="214"/>
      <c r="AG274" s="214"/>
      <c r="AH274" s="206"/>
      <c r="AI274" s="208"/>
    </row>
    <row r="275" spans="3:35" ht="15" customHeight="1">
      <c r="C275" s="34" t="s">
        <v>668</v>
      </c>
      <c r="E275" s="654"/>
      <c r="F275" s="276"/>
      <c r="G275" s="325"/>
      <c r="H275" s="276"/>
      <c r="I275" s="483"/>
      <c r="K275" s="214"/>
      <c r="M275" s="214"/>
      <c r="O275" s="214"/>
      <c r="Q275" s="214"/>
      <c r="S275" s="214"/>
      <c r="T275" s="214"/>
      <c r="U275" s="360"/>
      <c r="W275" s="214"/>
      <c r="Y275" s="214"/>
      <c r="AA275" s="214"/>
      <c r="AC275" s="214"/>
      <c r="AE275" s="214"/>
      <c r="AG275" s="214"/>
      <c r="AH275" s="206"/>
      <c r="AI275" s="208"/>
    </row>
    <row r="276" spans="3:35" ht="15" customHeight="1">
      <c r="C276" s="719">
        <v>301</v>
      </c>
      <c r="E276" s="324" t="s">
        <v>673</v>
      </c>
      <c r="F276" s="276"/>
      <c r="G276" s="325">
        <v>14</v>
      </c>
      <c r="H276" s="324"/>
      <c r="I276" s="663">
        <f>ROUND((+Linkin!I186)*0.1489,0)</f>
        <v>20692</v>
      </c>
      <c r="K276" s="213">
        <f>ROUND(VLOOKUP($G276,factors,+K$318)*$I276,0)</f>
        <v>6526</v>
      </c>
      <c r="L276" s="201"/>
      <c r="M276" s="213">
        <f>ROUND(VLOOKUP($G276,factors,+M$318)*$I276,0)</f>
        <v>2692</v>
      </c>
      <c r="N276" s="213"/>
      <c r="O276" s="213">
        <f>ROUND(VLOOKUP($G276,factors,+O$318)*$I276,0)</f>
        <v>1155</v>
      </c>
      <c r="P276" s="213"/>
      <c r="Q276" s="213">
        <f>ROUND(VLOOKUP($G276,factors,+Q$318)*$I276,0)</f>
        <v>859</v>
      </c>
      <c r="R276" s="213"/>
      <c r="S276" s="213">
        <f>ROUND(VLOOKUP($G276,factors,+S$318)*$I276,0)</f>
        <v>1798</v>
      </c>
      <c r="T276" s="213"/>
      <c r="U276" s="360">
        <f>ROUND(VLOOKUP($G276,factors,+U$318)*$I276,0)</f>
        <v>108</v>
      </c>
      <c r="V276" s="213"/>
      <c r="W276" s="213">
        <f>ROUND(VLOOKUP($G276,factors,+W$318)*$I276,0)</f>
        <v>5978</v>
      </c>
      <c r="X276" s="213"/>
      <c r="Y276" s="213">
        <f>ROUND(VLOOKUP($G276,factors,+Y$318)*$I276,0)</f>
        <v>1055</v>
      </c>
      <c r="Z276" s="213"/>
      <c r="AA276" s="213">
        <f>ROUND(VLOOKUP($G276,factors,+AA$318)*$I276,0)</f>
        <v>201</v>
      </c>
      <c r="AB276" s="213"/>
      <c r="AC276" s="213">
        <f>ROUND(VLOOKUP($G276,factors,+AC$318)*$I276,0)</f>
        <v>209</v>
      </c>
      <c r="AD276" s="213"/>
      <c r="AE276" s="213">
        <f>ROUND(VLOOKUP($G276,factors,+AE$318)*$I276,0)</f>
        <v>54</v>
      </c>
      <c r="AF276" s="213"/>
      <c r="AG276" s="213">
        <f>ROUND(VLOOKUP($G276,factors,+AG$318)*$I276,0)</f>
        <v>58</v>
      </c>
      <c r="AH276" s="201"/>
      <c r="AI276" s="208">
        <f t="shared" ref="AI276:AI277" si="173">SUM(K276:AG276)-I276</f>
        <v>1</v>
      </c>
    </row>
    <row r="277" spans="3:35" ht="15" customHeight="1">
      <c r="C277" s="719">
        <v>389.1</v>
      </c>
      <c r="E277" s="324" t="s">
        <v>551</v>
      </c>
      <c r="F277" s="276"/>
      <c r="G277" s="325">
        <v>12</v>
      </c>
      <c r="H277" s="324"/>
      <c r="I277" s="663">
        <f>ROUND((+Linkin!I187)*0.1489,0)</f>
        <v>737055</v>
      </c>
      <c r="K277" s="213">
        <f>ROUND(VLOOKUP($G277,factors,+K$318)*$I277,0)</f>
        <v>157582</v>
      </c>
      <c r="L277" s="201"/>
      <c r="M277" s="213">
        <f>ROUND(VLOOKUP($G277,factors,+M$318)*$I277,0)</f>
        <v>59628</v>
      </c>
      <c r="N277" s="213"/>
      <c r="O277" s="213">
        <f>ROUND(VLOOKUP($G277,factors,+O$318)*$I277,0)</f>
        <v>25871</v>
      </c>
      <c r="P277" s="213"/>
      <c r="Q277" s="213">
        <f>ROUND(VLOOKUP($G277,factors,+Q$318)*$I277,0)</f>
        <v>19163</v>
      </c>
      <c r="R277" s="213"/>
      <c r="S277" s="213">
        <f>ROUND(VLOOKUP($G277,factors,+S$318)*$I277,0)</f>
        <v>60660</v>
      </c>
      <c r="T277" s="213"/>
      <c r="U277" s="360">
        <f>ROUND(VLOOKUP($G277,factors,+U$318)*$I277,0)</f>
        <v>2432</v>
      </c>
      <c r="V277" s="213"/>
      <c r="W277" s="213">
        <f>ROUND(VLOOKUP($G277,factors,+W$318)*$I277,0)</f>
        <v>337645</v>
      </c>
      <c r="X277" s="213"/>
      <c r="Y277" s="213">
        <f>ROUND(VLOOKUP($G277,factors,+Y$318)*$I277,0)</f>
        <v>46287</v>
      </c>
      <c r="Z277" s="213"/>
      <c r="AA277" s="213">
        <f>ROUND(VLOOKUP($G277,factors,+AA$318)*$I277,0)</f>
        <v>13046</v>
      </c>
      <c r="AB277" s="213"/>
      <c r="AC277" s="213">
        <f>ROUND(VLOOKUP($G277,factors,+AC$318)*$I277,0)</f>
        <v>9729</v>
      </c>
      <c r="AD277" s="213"/>
      <c r="AE277" s="213">
        <f>ROUND(VLOOKUP($G277,factors,+AE$318)*$I277,0)</f>
        <v>2285</v>
      </c>
      <c r="AF277" s="213"/>
      <c r="AG277" s="213">
        <f>ROUND(VLOOKUP($G277,factors,+AG$318)*$I277,0)</f>
        <v>2727</v>
      </c>
      <c r="AH277" s="201"/>
      <c r="AI277" s="208">
        <f t="shared" si="173"/>
        <v>0</v>
      </c>
    </row>
    <row r="278" spans="3:35" ht="15" customHeight="1">
      <c r="C278" s="548">
        <v>390.2</v>
      </c>
      <c r="E278" s="662" t="s">
        <v>547</v>
      </c>
      <c r="F278" s="276"/>
      <c r="G278" s="478">
        <v>12</v>
      </c>
      <c r="H278" s="276"/>
      <c r="I278" s="663">
        <f>ROUND((+Linkin!I188+Linkin!I189)*0.1489,0)</f>
        <v>4035074</v>
      </c>
      <c r="K278" s="213">
        <f>ROUND(VLOOKUP($G278,factors,+K$318)*$I278,0)</f>
        <v>862699</v>
      </c>
      <c r="L278" s="201"/>
      <c r="M278" s="213">
        <f>ROUND(VLOOKUP($G278,factors,+M$318)*$I278,0)</f>
        <v>326437</v>
      </c>
      <c r="N278" s="213"/>
      <c r="O278" s="213">
        <f>ROUND(VLOOKUP($G278,factors,+O$318)*$I278,0)</f>
        <v>141631</v>
      </c>
      <c r="P278" s="213"/>
      <c r="Q278" s="213">
        <f>ROUND(VLOOKUP($G278,factors,+Q$318)*$I278,0)</f>
        <v>104912</v>
      </c>
      <c r="R278" s="213"/>
      <c r="S278" s="213">
        <f>ROUND(VLOOKUP($G278,factors,+S$318)*$I278,0)</f>
        <v>332087</v>
      </c>
      <c r="T278" s="213"/>
      <c r="U278" s="360">
        <f>ROUND(VLOOKUP($G278,factors,+U$318)*$I278,0)</f>
        <v>13316</v>
      </c>
      <c r="V278" s="213"/>
      <c r="W278" s="213">
        <f>ROUND(VLOOKUP($G278,factors,+W$318)*$I278,0)</f>
        <v>1848467</v>
      </c>
      <c r="X278" s="213"/>
      <c r="Y278" s="213">
        <f>ROUND(VLOOKUP($G278,factors,+Y$318)*$I278,0)</f>
        <v>253403</v>
      </c>
      <c r="Z278" s="213"/>
      <c r="AA278" s="213">
        <f>ROUND(VLOOKUP($G278,factors,+AA$318)*$I278,0)</f>
        <v>71421</v>
      </c>
      <c r="AB278" s="213"/>
      <c r="AC278" s="213">
        <f>ROUND(VLOOKUP($G278,factors,+AC$318)*$I278,0)</f>
        <v>53263</v>
      </c>
      <c r="AD278" s="213"/>
      <c r="AE278" s="213">
        <f>ROUND(VLOOKUP($G278,factors,+AE$318)*$I278,0)</f>
        <v>12509</v>
      </c>
      <c r="AF278" s="213"/>
      <c r="AG278" s="213">
        <f>ROUND(VLOOKUP($G278,factors,+AG$318)*$I278,0)</f>
        <v>14930</v>
      </c>
      <c r="AH278" s="201"/>
      <c r="AI278" s="208">
        <f>SUM(K278:AG278)-I278</f>
        <v>1</v>
      </c>
    </row>
    <row r="279" spans="3:35" ht="15" customHeight="1">
      <c r="C279" s="540">
        <v>391</v>
      </c>
      <c r="E279" s="279" t="s">
        <v>545</v>
      </c>
      <c r="F279" s="276"/>
      <c r="G279" s="478">
        <v>12</v>
      </c>
      <c r="H279" s="276"/>
      <c r="I279" s="663">
        <f>ROUND((+Linkin!I190+Linkin!I191)*0.1489,0)</f>
        <v>381981</v>
      </c>
      <c r="K279" s="213">
        <f>ROUND(VLOOKUP($G279,factors,+K$318)*$I279,0)</f>
        <v>81668</v>
      </c>
      <c r="L279" s="201"/>
      <c r="M279" s="213">
        <f>ROUND(VLOOKUP($G279,factors,+M$318)*$I279,0)</f>
        <v>30902</v>
      </c>
      <c r="N279" s="213"/>
      <c r="O279" s="213">
        <f>ROUND(VLOOKUP($G279,factors,+O$318)*$I279,0)</f>
        <v>13408</v>
      </c>
      <c r="P279" s="213"/>
      <c r="Q279" s="213">
        <f>ROUND(VLOOKUP($G279,factors,+Q$318)*$I279,0)</f>
        <v>9932</v>
      </c>
      <c r="R279" s="213"/>
      <c r="S279" s="213">
        <f>ROUND(VLOOKUP($G279,factors,+S$318)*$I279,0)</f>
        <v>31437</v>
      </c>
      <c r="T279" s="213"/>
      <c r="U279" s="360">
        <f>ROUND(VLOOKUP($G279,factors,+U$318)*$I279,0)</f>
        <v>1261</v>
      </c>
      <c r="V279" s="213"/>
      <c r="W279" s="213">
        <f>ROUND(VLOOKUP($G279,factors,+W$318)*$I279,0)</f>
        <v>174985</v>
      </c>
      <c r="X279" s="213"/>
      <c r="Y279" s="213">
        <f>ROUND(VLOOKUP($G279,factors,+Y$318)*$I279,0)</f>
        <v>23988</v>
      </c>
      <c r="Z279" s="213"/>
      <c r="AA279" s="213">
        <f>ROUND(VLOOKUP($G279,factors,+AA$318)*$I279,0)</f>
        <v>6761</v>
      </c>
      <c r="AB279" s="213"/>
      <c r="AC279" s="213">
        <f>ROUND(VLOOKUP($G279,factors,+AC$318)*$I279,0)</f>
        <v>5042</v>
      </c>
      <c r="AD279" s="213"/>
      <c r="AE279" s="213">
        <f>ROUND(VLOOKUP($G279,factors,+AE$318)*$I279,0)</f>
        <v>1184</v>
      </c>
      <c r="AF279" s="213"/>
      <c r="AG279" s="213">
        <f>ROUND(VLOOKUP($G279,factors,+AG$318)*$I279,0)</f>
        <v>1413</v>
      </c>
      <c r="AH279" s="201"/>
      <c r="AI279" s="208">
        <f>SUM(K279:AG279)-I279</f>
        <v>0</v>
      </c>
    </row>
    <row r="280" spans="3:35" ht="15" customHeight="1">
      <c r="C280" s="540">
        <v>392.1</v>
      </c>
      <c r="E280" s="279" t="s">
        <v>546</v>
      </c>
      <c r="F280" s="276"/>
      <c r="G280" s="478">
        <v>12</v>
      </c>
      <c r="H280" s="276"/>
      <c r="I280" s="664">
        <f>ROUND(+Linkin!I192*0.1489,0)</f>
        <v>912</v>
      </c>
      <c r="K280" s="212">
        <f>ROUND(VLOOKUP($G280,factors,+K$318)*$I280,0)</f>
        <v>195</v>
      </c>
      <c r="L280" s="201"/>
      <c r="M280" s="212">
        <f>ROUND(VLOOKUP($G280,factors,+M$318)*$I280,0)</f>
        <v>74</v>
      </c>
      <c r="N280" s="213"/>
      <c r="O280" s="212">
        <f>ROUND(VLOOKUP($G280,factors,+O$318)*$I280,0)</f>
        <v>32</v>
      </c>
      <c r="P280" s="213"/>
      <c r="Q280" s="212">
        <f>ROUND(VLOOKUP($G280,factors,+Q$318)*$I280,0)</f>
        <v>24</v>
      </c>
      <c r="R280" s="213"/>
      <c r="S280" s="212">
        <f>ROUND(VLOOKUP($G280,factors,+S$318)*$I280,0)</f>
        <v>75</v>
      </c>
      <c r="T280" s="213"/>
      <c r="U280" s="388">
        <f>ROUND(VLOOKUP($G280,factors,+U$318)*$I280,0)</f>
        <v>3</v>
      </c>
      <c r="V280" s="213"/>
      <c r="W280" s="212">
        <f>ROUND(VLOOKUP($G280,factors,+W$318)*$I280,0)</f>
        <v>418</v>
      </c>
      <c r="X280" s="213"/>
      <c r="Y280" s="212">
        <f>ROUND(VLOOKUP($G280,factors,+Y$318)*$I280,0)</f>
        <v>57</v>
      </c>
      <c r="Z280" s="213"/>
      <c r="AA280" s="212">
        <f>ROUND(VLOOKUP($G280,factors,+AA$318)*$I280,0)</f>
        <v>16</v>
      </c>
      <c r="AB280" s="213"/>
      <c r="AC280" s="212">
        <f>ROUND(VLOOKUP($G280,factors,+AC$318)*$I280,0)</f>
        <v>12</v>
      </c>
      <c r="AD280" s="213"/>
      <c r="AE280" s="212">
        <f>ROUND(VLOOKUP($G280,factors,+AE$318)*$I280,0)</f>
        <v>3</v>
      </c>
      <c r="AF280" s="213"/>
      <c r="AG280" s="212">
        <f>ROUND(VLOOKUP($G280,factors,+AG$318)*$I280,0)</f>
        <v>3</v>
      </c>
      <c r="AH280" s="201"/>
      <c r="AI280" s="208">
        <f>SUM(K280:AG280)-I280</f>
        <v>0</v>
      </c>
    </row>
    <row r="281" spans="3:35" ht="15" customHeight="1">
      <c r="D281" s="1"/>
      <c r="E281" s="665" t="s">
        <v>544</v>
      </c>
      <c r="F281" s="276"/>
      <c r="G281" s="655"/>
      <c r="H281" s="276"/>
      <c r="I281" s="483">
        <f>SUM(I276:I280)</f>
        <v>5175714</v>
      </c>
      <c r="J281" s="483">
        <f t="shared" ref="J281:AH281" si="174">SUM(J276:J280)</f>
        <v>0</v>
      </c>
      <c r="K281" s="483">
        <f t="shared" si="174"/>
        <v>1108670</v>
      </c>
      <c r="L281" s="483">
        <f t="shared" si="174"/>
        <v>0</v>
      </c>
      <c r="M281" s="483">
        <f t="shared" si="174"/>
        <v>419733</v>
      </c>
      <c r="N281" s="483">
        <f t="shared" si="174"/>
        <v>0</v>
      </c>
      <c r="O281" s="483">
        <f t="shared" si="174"/>
        <v>182097</v>
      </c>
      <c r="P281" s="483">
        <f t="shared" si="174"/>
        <v>0</v>
      </c>
      <c r="Q281" s="483">
        <f t="shared" si="174"/>
        <v>134890</v>
      </c>
      <c r="R281" s="483">
        <f t="shared" si="174"/>
        <v>0</v>
      </c>
      <c r="S281" s="483">
        <f t="shared" si="174"/>
        <v>426057</v>
      </c>
      <c r="T281" s="483">
        <f t="shared" si="174"/>
        <v>0</v>
      </c>
      <c r="U281" s="483">
        <f t="shared" si="174"/>
        <v>17120</v>
      </c>
      <c r="V281" s="483">
        <f t="shared" si="174"/>
        <v>0</v>
      </c>
      <c r="W281" s="483">
        <f t="shared" si="174"/>
        <v>2367493</v>
      </c>
      <c r="X281" s="483">
        <f t="shared" si="174"/>
        <v>0</v>
      </c>
      <c r="Y281" s="483">
        <f t="shared" si="174"/>
        <v>324790</v>
      </c>
      <c r="Z281" s="483">
        <f t="shared" si="174"/>
        <v>0</v>
      </c>
      <c r="AA281" s="483">
        <f t="shared" si="174"/>
        <v>91445</v>
      </c>
      <c r="AB281" s="483">
        <f t="shared" si="174"/>
        <v>0</v>
      </c>
      <c r="AC281" s="483">
        <f t="shared" si="174"/>
        <v>68255</v>
      </c>
      <c r="AD281" s="483">
        <f t="shared" si="174"/>
        <v>0</v>
      </c>
      <c r="AE281" s="483">
        <f t="shared" si="174"/>
        <v>16035</v>
      </c>
      <c r="AF281" s="483">
        <f t="shared" si="174"/>
        <v>0</v>
      </c>
      <c r="AG281" s="483">
        <f t="shared" si="174"/>
        <v>19131</v>
      </c>
      <c r="AH281" s="483">
        <f t="shared" si="174"/>
        <v>0</v>
      </c>
      <c r="AI281" s="208">
        <f>SUM(K281:AG281)-I281</f>
        <v>2</v>
      </c>
    </row>
    <row r="282" spans="3:35" ht="9" customHeight="1">
      <c r="E282" s="654"/>
      <c r="F282" s="276"/>
      <c r="G282" s="655"/>
      <c r="H282" s="276"/>
      <c r="I282" s="483"/>
      <c r="K282" s="214"/>
      <c r="M282" s="214"/>
      <c r="O282" s="214"/>
      <c r="Q282" s="214"/>
      <c r="S282" s="214"/>
      <c r="T282" s="214"/>
      <c r="U282" s="360"/>
      <c r="W282" s="214"/>
      <c r="Y282" s="214"/>
      <c r="AA282" s="214"/>
      <c r="AC282" s="214"/>
      <c r="AE282" s="214"/>
      <c r="AG282" s="214"/>
      <c r="AH282" s="206"/>
      <c r="AI282" s="208"/>
    </row>
    <row r="283" spans="3:35" ht="15" customHeight="1">
      <c r="C283" s="34" t="s">
        <v>669</v>
      </c>
      <c r="E283" s="654"/>
      <c r="F283" s="276"/>
      <c r="G283" s="655"/>
      <c r="H283" s="276"/>
      <c r="I283" s="483"/>
      <c r="K283" s="214"/>
      <c r="M283" s="214"/>
      <c r="O283" s="214"/>
      <c r="Q283" s="214"/>
      <c r="S283" s="214"/>
      <c r="T283" s="214"/>
      <c r="U283" s="360"/>
      <c r="W283" s="214"/>
      <c r="Y283" s="214"/>
      <c r="AA283" s="214"/>
      <c r="AC283" s="214"/>
      <c r="AE283" s="214"/>
      <c r="AG283" s="214"/>
      <c r="AH283" s="206"/>
      <c r="AI283" s="208"/>
    </row>
    <row r="284" spans="3:35" ht="15" customHeight="1">
      <c r="C284" s="210">
        <v>391</v>
      </c>
      <c r="E284" s="279" t="s">
        <v>545</v>
      </c>
      <c r="F284" s="276"/>
      <c r="G284" s="478">
        <v>12</v>
      </c>
      <c r="H284" s="276"/>
      <c r="I284" s="663">
        <f>ROUND((+Linkin!I198+Linkin!I199+Linkin!I200+Linkin!I203)*0.2817,0)</f>
        <v>2556463</v>
      </c>
      <c r="K284" s="213">
        <f>ROUND(VLOOKUP($G284,factors,+K$318)*$I284,0)</f>
        <v>546572</v>
      </c>
      <c r="L284" s="201"/>
      <c r="M284" s="213">
        <f>ROUND(VLOOKUP($G284,factors,+M$318)*$I284,0)</f>
        <v>206818</v>
      </c>
      <c r="N284" s="213"/>
      <c r="O284" s="213">
        <f>ROUND(VLOOKUP($G284,factors,+O$318)*$I284,0)</f>
        <v>89732</v>
      </c>
      <c r="P284" s="213"/>
      <c r="Q284" s="213">
        <f>ROUND(VLOOKUP($G284,factors,+Q$318)*$I284,0)</f>
        <v>66468</v>
      </c>
      <c r="R284" s="213"/>
      <c r="S284" s="213">
        <f>ROUND(VLOOKUP($G284,factors,+S$318)*$I284,0)</f>
        <v>210397</v>
      </c>
      <c r="T284" s="213"/>
      <c r="U284" s="360">
        <f>ROUND(VLOOKUP($G284,factors,+U$318)*$I284,0)</f>
        <v>8436</v>
      </c>
      <c r="V284" s="213"/>
      <c r="W284" s="213">
        <f>ROUND(VLOOKUP($G284,factors,+W$318)*$I284,0)</f>
        <v>1171116</v>
      </c>
      <c r="X284" s="213"/>
      <c r="Y284" s="213">
        <f>ROUND(VLOOKUP($G284,factors,+Y$318)*$I284,0)</f>
        <v>160546</v>
      </c>
      <c r="Z284" s="213"/>
      <c r="AA284" s="213">
        <f>ROUND(VLOOKUP($G284,factors,+AA$318)*$I284,0)</f>
        <v>45249</v>
      </c>
      <c r="AB284" s="213"/>
      <c r="AC284" s="213">
        <f>ROUND(VLOOKUP($G284,factors,+AC$318)*$I284,0)</f>
        <v>33745</v>
      </c>
      <c r="AD284" s="213"/>
      <c r="AE284" s="213">
        <f>ROUND(VLOOKUP($G284,factors,+AE$318)*$I284,0)</f>
        <v>7925</v>
      </c>
      <c r="AF284" s="213"/>
      <c r="AG284" s="213">
        <f>ROUND(VLOOKUP($G284,factors,+AG$318)*$I284,0)</f>
        <v>9459</v>
      </c>
      <c r="AH284" s="201"/>
      <c r="AI284" s="208">
        <f>SUM(K284:AG284)-I284</f>
        <v>0</v>
      </c>
    </row>
    <row r="285" spans="3:35" ht="15" customHeight="1">
      <c r="C285" s="210">
        <v>391.1</v>
      </c>
      <c r="E285" s="279" t="s">
        <v>548</v>
      </c>
      <c r="F285" s="276"/>
      <c r="G285" s="478">
        <v>7</v>
      </c>
      <c r="H285" s="276"/>
      <c r="I285" s="664">
        <f>ROUND(+Linkin!I202*0.2817,)</f>
        <v>23155306</v>
      </c>
      <c r="K285" s="212">
        <f>ROUND(VLOOKUP($G285,factors,+K$318)*$I285,0)</f>
        <v>0</v>
      </c>
      <c r="L285" s="201"/>
      <c r="M285" s="212">
        <f>ROUND(VLOOKUP($G285,factors,+M$318)*$I285,0)</f>
        <v>0</v>
      </c>
      <c r="N285" s="213"/>
      <c r="O285" s="212">
        <f>ROUND(VLOOKUP($G285,factors,+O$318)*$I285,0)</f>
        <v>0</v>
      </c>
      <c r="P285" s="213"/>
      <c r="Q285" s="212">
        <f>ROUND(VLOOKUP($G285,factors,+Q$318)*$I285,0)</f>
        <v>0</v>
      </c>
      <c r="R285" s="213"/>
      <c r="S285" s="212">
        <f>ROUND(VLOOKUP($G285,factors,+S$318)*$I285,0)</f>
        <v>0</v>
      </c>
      <c r="T285" s="213"/>
      <c r="U285" s="388">
        <f>ROUND(VLOOKUP($G285,factors,+U$318)*$I285,0)</f>
        <v>0</v>
      </c>
      <c r="V285" s="213"/>
      <c r="W285" s="212">
        <f>ROUND(VLOOKUP($G285,factors,+W$318)*$I285,0)</f>
        <v>20844406</v>
      </c>
      <c r="X285" s="213"/>
      <c r="Y285" s="212">
        <f>ROUND(VLOOKUP($G285,factors,+Y$318)*$I285,0)</f>
        <v>2225225</v>
      </c>
      <c r="Z285" s="213"/>
      <c r="AA285" s="212">
        <f>ROUND(VLOOKUP($G285,factors,+AA$318)*$I285,0)</f>
        <v>60204</v>
      </c>
      <c r="AB285" s="213"/>
      <c r="AC285" s="212">
        <f>ROUND(VLOOKUP($G285,factors,+AC$318)*$I285,0)</f>
        <v>18524</v>
      </c>
      <c r="AD285" s="213"/>
      <c r="AE285" s="212">
        <f>ROUND(VLOOKUP($G285,factors,+AE$318)*$I285,0)</f>
        <v>2316</v>
      </c>
      <c r="AF285" s="213"/>
      <c r="AG285" s="212">
        <f>ROUND(VLOOKUP($G285,factors,+AG$318)*$I285,0)</f>
        <v>4631</v>
      </c>
      <c r="AH285" s="201"/>
      <c r="AI285" s="208">
        <f>SUM(K285:AG285)-I285</f>
        <v>0</v>
      </c>
    </row>
    <row r="286" spans="3:35" ht="15" customHeight="1">
      <c r="E286" s="654" t="s">
        <v>549</v>
      </c>
      <c r="F286" s="276"/>
      <c r="G286" s="325"/>
      <c r="H286" s="276"/>
      <c r="I286" s="483">
        <f>SUM(I284:I285)</f>
        <v>25711769</v>
      </c>
      <c r="J286" s="214"/>
      <c r="K286" s="214">
        <f t="shared" ref="K286:AG286" si="175">SUM(K284:K285)</f>
        <v>546572</v>
      </c>
      <c r="L286" s="214"/>
      <c r="M286" s="214">
        <f t="shared" si="175"/>
        <v>206818</v>
      </c>
      <c r="N286" s="214"/>
      <c r="O286" s="214">
        <f t="shared" si="175"/>
        <v>89732</v>
      </c>
      <c r="P286" s="214"/>
      <c r="Q286" s="214">
        <f t="shared" si="175"/>
        <v>66468</v>
      </c>
      <c r="R286" s="214"/>
      <c r="S286" s="214">
        <f t="shared" si="175"/>
        <v>210397</v>
      </c>
      <c r="T286" s="214"/>
      <c r="U286" s="214">
        <f t="shared" si="175"/>
        <v>8436</v>
      </c>
      <c r="V286" s="214"/>
      <c r="W286" s="214">
        <f t="shared" si="175"/>
        <v>22015522</v>
      </c>
      <c r="X286" s="214"/>
      <c r="Y286" s="214">
        <f t="shared" si="175"/>
        <v>2385771</v>
      </c>
      <c r="Z286" s="214"/>
      <c r="AA286" s="214">
        <f t="shared" si="175"/>
        <v>105453</v>
      </c>
      <c r="AB286" s="214"/>
      <c r="AC286" s="214">
        <f t="shared" si="175"/>
        <v>52269</v>
      </c>
      <c r="AD286" s="214"/>
      <c r="AE286" s="214">
        <f t="shared" si="175"/>
        <v>10241</v>
      </c>
      <c r="AF286" s="214"/>
      <c r="AG286" s="214">
        <f t="shared" si="175"/>
        <v>14090</v>
      </c>
      <c r="AH286" s="206"/>
      <c r="AI286" s="208">
        <f>SUM(K286:AG286)-I286</f>
        <v>0</v>
      </c>
    </row>
    <row r="287" spans="3:35" ht="9" customHeight="1">
      <c r="E287" s="654"/>
      <c r="F287" s="276"/>
      <c r="G287" s="325"/>
      <c r="H287" s="276"/>
      <c r="I287" s="483"/>
      <c r="K287" s="214"/>
      <c r="M287" s="214"/>
      <c r="O287" s="214"/>
      <c r="Q287" s="214"/>
      <c r="S287" s="214"/>
      <c r="T287" s="214"/>
      <c r="U287" s="360"/>
      <c r="W287" s="214"/>
      <c r="Y287" s="214"/>
      <c r="AA287" s="214"/>
      <c r="AC287" s="214"/>
      <c r="AE287" s="214"/>
      <c r="AG287" s="214"/>
      <c r="AH287" s="206"/>
      <c r="AI287" s="208"/>
    </row>
    <row r="288" spans="3:35" ht="15" customHeight="1">
      <c r="C288" s="521" t="s">
        <v>671</v>
      </c>
      <c r="E288" s="654"/>
      <c r="F288" s="276"/>
      <c r="G288" s="325"/>
      <c r="H288" s="276"/>
      <c r="I288" s="483"/>
      <c r="K288" s="214"/>
      <c r="M288" s="214"/>
      <c r="O288" s="214"/>
      <c r="Q288" s="214"/>
      <c r="S288" s="214"/>
      <c r="T288" s="214"/>
      <c r="U288" s="360"/>
      <c r="W288" s="214"/>
      <c r="Y288" s="214"/>
      <c r="AA288" s="214"/>
      <c r="AC288" s="214"/>
      <c r="AE288" s="214"/>
      <c r="AG288" s="214"/>
      <c r="AH288" s="206"/>
      <c r="AI288" s="208"/>
    </row>
    <row r="289" spans="2:35" ht="15" customHeight="1">
      <c r="C289" s="548">
        <v>390.1</v>
      </c>
      <c r="E289" s="324" t="s">
        <v>674</v>
      </c>
      <c r="F289" s="276"/>
      <c r="G289" s="325">
        <v>12</v>
      </c>
      <c r="H289" s="276"/>
      <c r="I289" s="479">
        <f>ROUND(+Linkin!I210*0.2749,0)</f>
        <v>215477</v>
      </c>
      <c r="K289" s="212">
        <f>ROUND(VLOOKUP($G289,factors,+K$318)*$I289,0)</f>
        <v>46069</v>
      </c>
      <c r="L289" s="201"/>
      <c r="M289" s="212">
        <f>ROUND(VLOOKUP($G289,factors,+M$318)*$I289,0)</f>
        <v>17432</v>
      </c>
      <c r="N289" s="213"/>
      <c r="O289" s="212">
        <f>ROUND(VLOOKUP($G289,factors,+O$318)*$I289,0)</f>
        <v>7563</v>
      </c>
      <c r="P289" s="213"/>
      <c r="Q289" s="212">
        <f>ROUND(VLOOKUP($G289,factors,+Q$318)*$I289,0)</f>
        <v>5602</v>
      </c>
      <c r="R289" s="213"/>
      <c r="S289" s="212">
        <f>ROUND(VLOOKUP($G289,factors,+S$318)*$I289,0)</f>
        <v>17734</v>
      </c>
      <c r="T289" s="213"/>
      <c r="U289" s="388">
        <f>ROUND(VLOOKUP($G289,factors,+U$318)*$I289,0)</f>
        <v>711</v>
      </c>
      <c r="V289" s="213"/>
      <c r="W289" s="212">
        <f>ROUND(VLOOKUP($G289,factors,+W$318)*$I289,0)</f>
        <v>98710</v>
      </c>
      <c r="X289" s="213"/>
      <c r="Y289" s="212">
        <f>ROUND(VLOOKUP($G289,factors,+Y$318)*$I289,0)</f>
        <v>13532</v>
      </c>
      <c r="Z289" s="213"/>
      <c r="AA289" s="212">
        <f>ROUND(VLOOKUP($G289,factors,+AA$318)*$I289,0)</f>
        <v>3814</v>
      </c>
      <c r="AB289" s="213"/>
      <c r="AC289" s="212">
        <f>ROUND(VLOOKUP($G289,factors,+AC$318)*$I289,0)</f>
        <v>2844</v>
      </c>
      <c r="AD289" s="213"/>
      <c r="AE289" s="212">
        <f>ROUND(VLOOKUP($G289,factors,+AE$318)*$I289,0)</f>
        <v>668</v>
      </c>
      <c r="AF289" s="213"/>
      <c r="AG289" s="212">
        <f>ROUND(VLOOKUP($G289,factors,+AG$318)*$I289,0)</f>
        <v>797</v>
      </c>
      <c r="AH289" s="201"/>
      <c r="AI289" s="208">
        <f t="shared" ref="AI289:AI314" si="176">SUM(K289:AG289)-I289</f>
        <v>-1</v>
      </c>
    </row>
    <row r="290" spans="2:35" ht="7.15" customHeight="1">
      <c r="C290" s="548"/>
      <c r="E290" s="324"/>
      <c r="F290" s="276"/>
      <c r="G290" s="325"/>
      <c r="H290" s="276"/>
      <c r="I290" s="483"/>
      <c r="K290" s="213"/>
      <c r="L290" s="201"/>
      <c r="M290" s="213"/>
      <c r="N290" s="213"/>
      <c r="O290" s="213"/>
      <c r="P290" s="213"/>
      <c r="Q290" s="213"/>
      <c r="R290" s="213"/>
      <c r="S290" s="213"/>
      <c r="T290" s="213"/>
      <c r="U290" s="360"/>
      <c r="V290" s="213"/>
      <c r="W290" s="213"/>
      <c r="X290" s="213"/>
      <c r="Y290" s="213"/>
      <c r="Z290" s="213"/>
      <c r="AA290" s="213"/>
      <c r="AB290" s="213"/>
      <c r="AC290" s="213"/>
      <c r="AD290" s="213"/>
      <c r="AE290" s="213"/>
      <c r="AF290" s="213"/>
      <c r="AG290" s="213"/>
      <c r="AH290" s="201"/>
      <c r="AI290" s="208"/>
    </row>
    <row r="291" spans="2:35" ht="15" customHeight="1">
      <c r="C291" s="717" t="s">
        <v>571</v>
      </c>
      <c r="E291" s="324"/>
      <c r="F291" s="276"/>
      <c r="G291" s="325"/>
      <c r="H291" s="276"/>
      <c r="I291" s="483"/>
      <c r="K291" s="213"/>
      <c r="L291" s="201"/>
      <c r="M291" s="213"/>
      <c r="N291" s="213"/>
      <c r="O291" s="213"/>
      <c r="P291" s="213"/>
      <c r="Q291" s="213"/>
      <c r="R291" s="213"/>
      <c r="S291" s="213"/>
      <c r="T291" s="213"/>
      <c r="U291" s="360"/>
      <c r="V291" s="213"/>
      <c r="W291" s="213"/>
      <c r="X291" s="213"/>
      <c r="Y291" s="213"/>
      <c r="Z291" s="213"/>
      <c r="AA291" s="213"/>
      <c r="AB291" s="213"/>
      <c r="AC291" s="213"/>
      <c r="AD291" s="213"/>
      <c r="AE291" s="213"/>
      <c r="AF291" s="213"/>
      <c r="AG291" s="213"/>
      <c r="AH291" s="201"/>
      <c r="AI291" s="208"/>
    </row>
    <row r="292" spans="2:35" ht="15" customHeight="1">
      <c r="C292" s="548">
        <v>390.1</v>
      </c>
      <c r="E292" s="324" t="s">
        <v>672</v>
      </c>
      <c r="F292" s="276"/>
      <c r="G292" s="325">
        <v>12</v>
      </c>
      <c r="H292" s="276"/>
      <c r="I292" s="483">
        <f>ROUND(-Linkin!I215*0.1304,0)</f>
        <v>-1092717</v>
      </c>
      <c r="K292" s="213">
        <f>ROUND(VLOOKUP($G292,factors,+K$318)*$I292,0)</f>
        <v>-233623</v>
      </c>
      <c r="L292" s="201"/>
      <c r="M292" s="213">
        <f>ROUND(VLOOKUP($G292,factors,+M$318)*$I292,0)</f>
        <v>-88401</v>
      </c>
      <c r="N292" s="213"/>
      <c r="O292" s="213">
        <f>ROUND(VLOOKUP($G292,factors,+O$318)*$I292,0)</f>
        <v>-38354</v>
      </c>
      <c r="P292" s="213"/>
      <c r="Q292" s="213">
        <f>ROUND(VLOOKUP($G292,factors,+Q$318)*$I292,0)</f>
        <v>-28411</v>
      </c>
      <c r="R292" s="213"/>
      <c r="S292" s="213">
        <f>ROUND(VLOOKUP($G292,factors,+S$318)*$I292,0)</f>
        <v>-89931</v>
      </c>
      <c r="T292" s="213"/>
      <c r="U292" s="360">
        <f>ROUND(VLOOKUP($G292,factors,+U$318)*$I292,0)</f>
        <v>-3606</v>
      </c>
      <c r="V292" s="213"/>
      <c r="W292" s="213">
        <f>ROUND(VLOOKUP($G292,factors,+W$318)*$I292,0)</f>
        <v>-500574</v>
      </c>
      <c r="X292" s="213"/>
      <c r="Y292" s="213">
        <f>ROUND(VLOOKUP($G292,factors,+Y$318)*$I292,0)</f>
        <v>-68623</v>
      </c>
      <c r="Z292" s="213"/>
      <c r="AA292" s="213">
        <f>ROUND(VLOOKUP($G292,factors,+AA$318)*$I292,0)</f>
        <v>-19341</v>
      </c>
      <c r="AB292" s="213"/>
      <c r="AC292" s="213">
        <f>ROUND(VLOOKUP($G292,factors,+AC$318)*$I292,0)</f>
        <v>-14424</v>
      </c>
      <c r="AD292" s="213"/>
      <c r="AE292" s="213">
        <f>ROUND(VLOOKUP($G292,factors,+AE$318)*$I292,0)</f>
        <v>-3387</v>
      </c>
      <c r="AF292" s="213"/>
      <c r="AG292" s="213">
        <f>ROUND(VLOOKUP($G292,factors,+AG$318)*$I292,0)</f>
        <v>-4043</v>
      </c>
      <c r="AH292" s="201"/>
      <c r="AI292" s="208">
        <f>SUM(K292:AG292)-I292</f>
        <v>-1</v>
      </c>
    </row>
    <row r="293" spans="2:35" ht="15" customHeight="1">
      <c r="C293" s="548"/>
      <c r="E293" s="324"/>
      <c r="F293" s="276"/>
      <c r="G293" s="325"/>
      <c r="H293" s="276"/>
      <c r="I293" s="483"/>
      <c r="K293" s="213"/>
      <c r="L293" s="201"/>
      <c r="M293" s="213"/>
      <c r="N293" s="213"/>
      <c r="O293" s="213"/>
      <c r="P293" s="213"/>
      <c r="Q293" s="213"/>
      <c r="R293" s="213"/>
      <c r="S293" s="213"/>
      <c r="T293" s="213"/>
      <c r="U293" s="360"/>
      <c r="V293" s="213"/>
      <c r="W293" s="213"/>
      <c r="X293" s="213"/>
      <c r="Y293" s="213"/>
      <c r="Z293" s="213"/>
      <c r="AA293" s="213"/>
      <c r="AB293" s="213"/>
      <c r="AC293" s="213"/>
      <c r="AD293" s="213"/>
      <c r="AE293" s="213"/>
      <c r="AF293" s="213"/>
      <c r="AG293" s="213"/>
      <c r="AH293" s="201"/>
      <c r="AI293" s="208"/>
    </row>
    <row r="294" spans="2:35" ht="15" customHeight="1">
      <c r="C294" s="34" t="s">
        <v>286</v>
      </c>
      <c r="E294" s="276"/>
      <c r="F294" s="276"/>
      <c r="G294" s="325"/>
      <c r="H294" s="276"/>
      <c r="I294" s="361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  <c r="T294" s="206"/>
      <c r="U294" s="216"/>
      <c r="V294" s="206"/>
      <c r="W294" s="206"/>
      <c r="X294" s="206"/>
      <c r="Y294" s="206"/>
      <c r="Z294" s="206"/>
      <c r="AA294" s="206"/>
      <c r="AB294" s="206"/>
      <c r="AC294" s="206"/>
      <c r="AD294" s="206"/>
      <c r="AE294" s="206"/>
      <c r="AF294" s="206"/>
      <c r="AG294" s="206"/>
      <c r="AH294" s="206"/>
      <c r="AI294" s="208">
        <f t="shared" si="176"/>
        <v>0</v>
      </c>
    </row>
    <row r="295" spans="2:35" ht="4.9000000000000004" customHeight="1">
      <c r="C295" s="200" t="s">
        <v>265</v>
      </c>
      <c r="E295" s="276"/>
      <c r="F295" s="276"/>
      <c r="G295" s="325"/>
      <c r="H295" s="276"/>
      <c r="I295" s="361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  <c r="T295" s="206"/>
      <c r="U295" s="216"/>
      <c r="V295" s="206"/>
      <c r="W295" s="206"/>
      <c r="X295" s="206"/>
      <c r="Y295" s="206"/>
      <c r="Z295" s="206"/>
      <c r="AA295" s="206"/>
      <c r="AB295" s="206"/>
      <c r="AC295" s="206"/>
      <c r="AD295" s="206"/>
      <c r="AE295" s="206"/>
      <c r="AF295" s="206"/>
      <c r="AG295" s="206"/>
      <c r="AH295" s="206"/>
      <c r="AI295" s="208">
        <f t="shared" si="176"/>
        <v>0</v>
      </c>
    </row>
    <row r="296" spans="2:35" ht="15" customHeight="1">
      <c r="C296" s="210">
        <v>301</v>
      </c>
      <c r="E296" s="324" t="s">
        <v>673</v>
      </c>
      <c r="F296" s="276"/>
      <c r="G296" s="325">
        <v>14</v>
      </c>
      <c r="H296" s="276"/>
      <c r="I296" s="327">
        <f>+Linkin!I174</f>
        <v>86238</v>
      </c>
      <c r="J296" s="206"/>
      <c r="K296" s="207">
        <f>ROUND(VLOOKUP($G296,factors,+K$318)*$I296,0)</f>
        <v>27199</v>
      </c>
      <c r="M296" s="207">
        <f>ROUND(VLOOKUP($G296,factors,+M$318)*$I296,0)</f>
        <v>11220</v>
      </c>
      <c r="N296" s="207"/>
      <c r="O296" s="207">
        <f>ROUND(VLOOKUP($G296,factors,+O$318)*$I296,0)</f>
        <v>4812</v>
      </c>
      <c r="P296" s="207"/>
      <c r="Q296" s="207">
        <f>ROUND(VLOOKUP($G296,factors,+Q$318)*$I296,0)</f>
        <v>3579</v>
      </c>
      <c r="R296" s="207"/>
      <c r="S296" s="207">
        <f>ROUND(VLOOKUP($G296,factors,+S$318)*$I296,0)</f>
        <v>7494</v>
      </c>
      <c r="T296" s="207"/>
      <c r="U296" s="216">
        <f>ROUND(VLOOKUP($G296,factors,+U$318)*$I296,0)</f>
        <v>448</v>
      </c>
      <c r="V296" s="207"/>
      <c r="W296" s="207">
        <f>ROUND(VLOOKUP($G296,factors,+W$318)*$I296,0)</f>
        <v>24914</v>
      </c>
      <c r="X296" s="207"/>
      <c r="Y296" s="207">
        <f>ROUND(VLOOKUP($G296,factors,+Y$318)*$I296,0)</f>
        <v>4398</v>
      </c>
      <c r="Z296" s="207"/>
      <c r="AA296" s="207">
        <f>ROUND(VLOOKUP($G296,factors,+AA$318)*$I296,0)</f>
        <v>837</v>
      </c>
      <c r="AB296" s="207"/>
      <c r="AC296" s="207">
        <f>ROUND(VLOOKUP($G296,factors,+AC$318)*$I296,0)</f>
        <v>871</v>
      </c>
      <c r="AD296" s="207"/>
      <c r="AE296" s="207">
        <f>ROUND(VLOOKUP($G296,factors,+AE$318)*$I296,0)</f>
        <v>224</v>
      </c>
      <c r="AF296" s="207"/>
      <c r="AG296" s="207">
        <f>ROUND(VLOOKUP($G296,factors,+AG$318)*$I296,0)</f>
        <v>241</v>
      </c>
      <c r="AI296" s="208">
        <f t="shared" si="176"/>
        <v>-1</v>
      </c>
    </row>
    <row r="297" spans="2:35" ht="15" customHeight="1">
      <c r="C297" s="210">
        <v>302</v>
      </c>
      <c r="E297" s="324" t="s">
        <v>550</v>
      </c>
      <c r="F297" s="276"/>
      <c r="G297" s="325">
        <v>14</v>
      </c>
      <c r="H297" s="276"/>
      <c r="I297" s="361">
        <f>+Linkin!I175</f>
        <v>9422</v>
      </c>
      <c r="J297" s="206"/>
      <c r="K297" s="207">
        <f>ROUND(VLOOKUP($G297,factors,+K$318)*$I297,0)</f>
        <v>2972</v>
      </c>
      <c r="M297" s="207">
        <f>ROUND(VLOOKUP($G297,factors,+M$318)*$I297,0)</f>
        <v>1226</v>
      </c>
      <c r="N297" s="207"/>
      <c r="O297" s="207">
        <f>ROUND(VLOOKUP($G297,factors,+O$318)*$I297,0)</f>
        <v>526</v>
      </c>
      <c r="P297" s="207"/>
      <c r="Q297" s="207">
        <f>ROUND(VLOOKUP($G297,factors,+Q$318)*$I297,0)</f>
        <v>391</v>
      </c>
      <c r="R297" s="207"/>
      <c r="S297" s="207">
        <f>ROUND(VLOOKUP($G297,factors,+S$318)*$I297,0)</f>
        <v>819</v>
      </c>
      <c r="T297" s="207"/>
      <c r="U297" s="216">
        <f>ROUND(VLOOKUP($G297,factors,+U$318)*$I297,0)</f>
        <v>49</v>
      </c>
      <c r="V297" s="207"/>
      <c r="W297" s="207">
        <f>ROUND(VLOOKUP($G297,factors,+W$318)*$I297,0)</f>
        <v>2722</v>
      </c>
      <c r="X297" s="207"/>
      <c r="Y297" s="207">
        <f>ROUND(VLOOKUP($G297,factors,+Y$318)*$I297,0)</f>
        <v>481</v>
      </c>
      <c r="Z297" s="207"/>
      <c r="AA297" s="207">
        <f>ROUND(VLOOKUP($G297,factors,+AA$318)*$I297,0)</f>
        <v>91</v>
      </c>
      <c r="AB297" s="207"/>
      <c r="AC297" s="207">
        <f>ROUND(VLOOKUP($G297,factors,+AC$318)*$I297,0)</f>
        <v>95</v>
      </c>
      <c r="AD297" s="207"/>
      <c r="AE297" s="207">
        <f>ROUND(VLOOKUP($G297,factors,+AE$318)*$I297,0)</f>
        <v>24</v>
      </c>
      <c r="AF297" s="207"/>
      <c r="AG297" s="207">
        <f>ROUND(VLOOKUP($G297,factors,+AG$318)*$I297,0)</f>
        <v>26</v>
      </c>
      <c r="AI297" s="208">
        <f t="shared" si="176"/>
        <v>0</v>
      </c>
    </row>
    <row r="298" spans="2:35" ht="15" customHeight="1">
      <c r="C298" s="210">
        <v>304</v>
      </c>
      <c r="E298" s="324" t="s">
        <v>551</v>
      </c>
      <c r="F298" s="276"/>
      <c r="G298" s="325">
        <v>14</v>
      </c>
      <c r="H298" s="276"/>
      <c r="I298" s="361">
        <v>0</v>
      </c>
      <c r="J298" s="206"/>
      <c r="K298" s="207">
        <f>ROUND(VLOOKUP($G298,factors,+K$318)*$I298,0)</f>
        <v>0</v>
      </c>
      <c r="M298" s="207">
        <f>ROUND(VLOOKUP($G298,factors,+M$318)*$I298,0)</f>
        <v>0</v>
      </c>
      <c r="N298" s="207"/>
      <c r="O298" s="207">
        <f>ROUND(VLOOKUP($G298,factors,+O$318)*$I298,0)</f>
        <v>0</v>
      </c>
      <c r="P298" s="207"/>
      <c r="Q298" s="207">
        <f>ROUND(VLOOKUP($G298,factors,+Q$318)*$I298,0)</f>
        <v>0</v>
      </c>
      <c r="R298" s="207"/>
      <c r="S298" s="207">
        <f>ROUND(VLOOKUP($G298,factors,+S$318)*$I298,0)</f>
        <v>0</v>
      </c>
      <c r="T298" s="207"/>
      <c r="U298" s="216">
        <f>ROUND(VLOOKUP($G298,factors,+U$318)*$I298,0)</f>
        <v>0</v>
      </c>
      <c r="V298" s="207"/>
      <c r="W298" s="207">
        <f>ROUND(VLOOKUP($G298,factors,+W$318)*$I298,0)</f>
        <v>0</v>
      </c>
      <c r="X298" s="207"/>
      <c r="Y298" s="207">
        <f>ROUND(VLOOKUP($G298,factors,+Y$318)*$I298,0)</f>
        <v>0</v>
      </c>
      <c r="Z298" s="207"/>
      <c r="AA298" s="207">
        <f>ROUND(VLOOKUP($G298,factors,+AA$318)*$I298,0)</f>
        <v>0</v>
      </c>
      <c r="AB298" s="207"/>
      <c r="AC298" s="207">
        <f>ROUND(VLOOKUP($G298,factors,+AC$318)*$I298,0)</f>
        <v>0</v>
      </c>
      <c r="AD298" s="207"/>
      <c r="AE298" s="207">
        <f>ROUND(VLOOKUP($G298,factors,+AE$318)*$I298,0)</f>
        <v>0</v>
      </c>
      <c r="AF298" s="207"/>
      <c r="AG298" s="207">
        <f>ROUND(VLOOKUP($G298,factors,+AG$318)*$I298,0)</f>
        <v>0</v>
      </c>
      <c r="AI298" s="208">
        <f t="shared" si="176"/>
        <v>0</v>
      </c>
    </row>
    <row r="299" spans="2:35" ht="15" customHeight="1">
      <c r="C299" s="210">
        <v>305</v>
      </c>
      <c r="E299" s="324" t="s">
        <v>554</v>
      </c>
      <c r="F299" s="276"/>
      <c r="G299" s="325">
        <v>1</v>
      </c>
      <c r="H299" s="276"/>
      <c r="I299" s="479">
        <v>0</v>
      </c>
      <c r="J299" s="206"/>
      <c r="K299" s="212">
        <f>ROUND(VLOOKUP($G299,factors,+K$318)*$I299,0)</f>
        <v>0</v>
      </c>
      <c r="M299" s="212">
        <f>ROUND(VLOOKUP($G299,factors,+M$318)*$I299,0)</f>
        <v>0</v>
      </c>
      <c r="N299" s="207"/>
      <c r="O299" s="212">
        <f>ROUND(VLOOKUP($G299,factors,+O$318)*$I299,0)</f>
        <v>0</v>
      </c>
      <c r="P299" s="213"/>
      <c r="Q299" s="212">
        <f>ROUND(VLOOKUP($G299,factors,+Q$318)*$I299,0)</f>
        <v>0</v>
      </c>
      <c r="R299" s="207"/>
      <c r="S299" s="212">
        <f>ROUND(VLOOKUP($G299,factors,+S$318)*$I299,0)</f>
        <v>0</v>
      </c>
      <c r="T299" s="213"/>
      <c r="U299" s="388">
        <f>ROUND(VLOOKUP($G299,factors,+U$318)*$I299,0)</f>
        <v>0</v>
      </c>
      <c r="V299" s="207"/>
      <c r="W299" s="212">
        <f>ROUND(VLOOKUP($G299,factors,+W$318)*$I299,0)</f>
        <v>0</v>
      </c>
      <c r="X299" s="207"/>
      <c r="Y299" s="212">
        <f>ROUND(VLOOKUP($G299,factors,+Y$318)*$I299,0)</f>
        <v>0</v>
      </c>
      <c r="Z299" s="207"/>
      <c r="AA299" s="212">
        <f>ROUND(VLOOKUP($G299,factors,+AA$318)*$I299,0)</f>
        <v>0</v>
      </c>
      <c r="AB299" s="213"/>
      <c r="AC299" s="212">
        <f>ROUND(VLOOKUP($G299,factors,+AC$318)*$I299,0)</f>
        <v>0</v>
      </c>
      <c r="AD299" s="207"/>
      <c r="AE299" s="212">
        <f>ROUND(VLOOKUP($G299,factors,+AE$318)*$I299,0)</f>
        <v>0</v>
      </c>
      <c r="AF299" s="207"/>
      <c r="AG299" s="212">
        <f>ROUND(VLOOKUP($G299,factors,+AG$318)*$I299,0)</f>
        <v>0</v>
      </c>
      <c r="AI299" s="208">
        <f t="shared" si="176"/>
        <v>0</v>
      </c>
    </row>
    <row r="300" spans="2:35" ht="15" customHeight="1">
      <c r="E300" s="276" t="s">
        <v>266</v>
      </c>
      <c r="F300" s="276"/>
      <c r="G300" s="325"/>
      <c r="H300" s="276"/>
      <c r="I300" s="479">
        <f>SUM(I296:I299)</f>
        <v>95660</v>
      </c>
      <c r="K300" s="211">
        <f>SUM(K296:K299)</f>
        <v>30171</v>
      </c>
      <c r="M300" s="211">
        <f>SUM(M296:M299)</f>
        <v>12446</v>
      </c>
      <c r="O300" s="211">
        <f>SUM(O296:O299)</f>
        <v>5338</v>
      </c>
      <c r="P300" s="214"/>
      <c r="Q300" s="211">
        <f>SUM(Q296:Q299)</f>
        <v>3970</v>
      </c>
      <c r="S300" s="211">
        <f>SUM(S296:S299)</f>
        <v>8313</v>
      </c>
      <c r="T300" s="214"/>
      <c r="U300" s="388">
        <f>SUM(U296:U299)</f>
        <v>497</v>
      </c>
      <c r="W300" s="211">
        <f>SUM(W296:W299)</f>
        <v>27636</v>
      </c>
      <c r="Y300" s="211">
        <f>SUM(Y296:Y299)</f>
        <v>4879</v>
      </c>
      <c r="AA300" s="211">
        <f>SUM(AA296:AA299)</f>
        <v>928</v>
      </c>
      <c r="AB300" s="214"/>
      <c r="AC300" s="211">
        <f>SUM(AC296:AC299)</f>
        <v>966</v>
      </c>
      <c r="AE300" s="211">
        <f t="shared" ref="AE300" si="177">SUM(AE296:AE299)</f>
        <v>248</v>
      </c>
      <c r="AG300" s="211">
        <f t="shared" ref="AG300" si="178">SUM(AG296:AG299)</f>
        <v>267</v>
      </c>
      <c r="AH300" s="211"/>
      <c r="AI300" s="208">
        <f t="shared" si="176"/>
        <v>-1</v>
      </c>
    </row>
    <row r="301" spans="2:35" ht="15" customHeight="1">
      <c r="E301" s="276"/>
      <c r="F301" s="276"/>
      <c r="G301" s="325"/>
      <c r="H301" s="276"/>
      <c r="I301" s="361"/>
      <c r="U301" s="216"/>
      <c r="AI301" s="208">
        <f t="shared" si="176"/>
        <v>0</v>
      </c>
    </row>
    <row r="302" spans="2:35" ht="15" customHeight="1">
      <c r="B302" s="206"/>
      <c r="E302" s="276" t="s">
        <v>247</v>
      </c>
      <c r="F302" s="276"/>
      <c r="G302" s="325"/>
      <c r="H302" s="276"/>
      <c r="I302" s="479">
        <f>+I300+I292+I289+I286+I281+I273</f>
        <v>662628814</v>
      </c>
      <c r="J302" s="479"/>
      <c r="K302" s="479">
        <f t="shared" ref="K302:AG302" si="179">+K300+K292+K289+K286+K281+K273</f>
        <v>205210114</v>
      </c>
      <c r="L302" s="479"/>
      <c r="M302" s="479">
        <f t="shared" si="179"/>
        <v>85103206</v>
      </c>
      <c r="N302" s="479"/>
      <c r="O302" s="479">
        <f t="shared" si="179"/>
        <v>37308738</v>
      </c>
      <c r="P302" s="479"/>
      <c r="Q302" s="479">
        <f t="shared" si="179"/>
        <v>27710456</v>
      </c>
      <c r="R302" s="479"/>
      <c r="S302" s="479">
        <f t="shared" si="179"/>
        <v>57840251.149673641</v>
      </c>
      <c r="T302" s="479"/>
      <c r="U302" s="479">
        <f t="shared" si="179"/>
        <v>3475412</v>
      </c>
      <c r="V302" s="479"/>
      <c r="W302" s="479">
        <f t="shared" si="179"/>
        <v>195071681</v>
      </c>
      <c r="X302" s="479"/>
      <c r="Y302" s="479">
        <f t="shared" si="179"/>
        <v>34258565</v>
      </c>
      <c r="Z302" s="479"/>
      <c r="AA302" s="479">
        <f t="shared" si="179"/>
        <v>6379204</v>
      </c>
      <c r="AB302" s="479"/>
      <c r="AC302" s="479">
        <f t="shared" si="179"/>
        <v>6700336</v>
      </c>
      <c r="AD302" s="479"/>
      <c r="AE302" s="479">
        <f t="shared" si="179"/>
        <v>1694454</v>
      </c>
      <c r="AF302" s="479"/>
      <c r="AG302" s="479">
        <f t="shared" si="179"/>
        <v>1876395</v>
      </c>
      <c r="AH302" s="206"/>
      <c r="AI302" s="208">
        <f t="shared" si="176"/>
        <v>-1.8503262996673584</v>
      </c>
    </row>
    <row r="303" spans="2:35" ht="15" customHeight="1">
      <c r="E303" s="276"/>
      <c r="F303" s="276"/>
      <c r="G303" s="325"/>
      <c r="H303" s="276"/>
      <c r="I303" s="361"/>
      <c r="U303" s="216"/>
      <c r="AI303" s="208">
        <f t="shared" si="176"/>
        <v>0</v>
      </c>
    </row>
    <row r="304" spans="2:35" ht="15" customHeight="1">
      <c r="C304" s="34" t="s">
        <v>256</v>
      </c>
      <c r="E304" s="276"/>
      <c r="F304" s="276"/>
      <c r="G304" s="325"/>
      <c r="H304" s="276"/>
      <c r="I304" s="361"/>
      <c r="U304" s="216"/>
      <c r="AI304" s="208">
        <f t="shared" si="176"/>
        <v>0</v>
      </c>
    </row>
    <row r="305" spans="1:37" ht="15" customHeight="1">
      <c r="A305" s="200">
        <v>4729</v>
      </c>
      <c r="E305" s="276" t="s">
        <v>268</v>
      </c>
      <c r="F305" s="276"/>
      <c r="G305" s="478" t="s">
        <v>633</v>
      </c>
      <c r="H305" s="276"/>
      <c r="I305" s="361">
        <f>+A305*1000</f>
        <v>4729000</v>
      </c>
      <c r="K305" s="207">
        <f t="shared" ref="K305:K311" si="180">ROUND(VLOOKUP($G305,factors,+K$318)*$I305,0)</f>
        <v>3357117</v>
      </c>
      <c r="M305" s="207">
        <f t="shared" ref="M305:M311" si="181">ROUND(VLOOKUP($G305,factors,+M$318)*$I305,0)</f>
        <v>1371883</v>
      </c>
      <c r="N305" s="207"/>
      <c r="O305" s="207">
        <f t="shared" ref="O305:O311" si="182">ROUND(VLOOKUP($G305,factors,+O$318)*$I305,0)</f>
        <v>0</v>
      </c>
      <c r="P305" s="207"/>
      <c r="Q305" s="207">
        <f t="shared" ref="Q305:Q311" si="183">ROUND(VLOOKUP($G305,factors,+Q$318)*$I305,0)</f>
        <v>0</v>
      </c>
      <c r="R305" s="207"/>
      <c r="S305" s="207">
        <f t="shared" ref="S305:S311" si="184">ROUND(VLOOKUP($G305,factors,+S$318)*$I305,0)</f>
        <v>0</v>
      </c>
      <c r="T305" s="207"/>
      <c r="U305" s="216">
        <f t="shared" ref="U305:U311" si="185">ROUND(VLOOKUP($G305,factors,+U$318)*$I305,0)</f>
        <v>0</v>
      </c>
      <c r="V305" s="207"/>
      <c r="W305" s="207">
        <f t="shared" ref="W305:W311" si="186">ROUND(VLOOKUP($G305,factors,+W$318)*$I305,0)</f>
        <v>0</v>
      </c>
      <c r="X305" s="207"/>
      <c r="Y305" s="207">
        <f t="shared" ref="Y305:Y311" si="187">ROUND(VLOOKUP($G305,factors,+Y$318)*$I305,0)</f>
        <v>0</v>
      </c>
      <c r="Z305" s="207"/>
      <c r="AA305" s="207">
        <f t="shared" ref="AA305:AA311" si="188">ROUND(VLOOKUP($G305,factors,+AA$318)*$I305,0)</f>
        <v>0</v>
      </c>
      <c r="AB305" s="207"/>
      <c r="AC305" s="207">
        <f t="shared" ref="AC305:AC311" si="189">ROUND(VLOOKUP($G305,factors,+AC$318)*$I305,0)</f>
        <v>0</v>
      </c>
      <c r="AD305" s="207"/>
      <c r="AE305" s="207">
        <f t="shared" ref="AE305:AE311" si="190">ROUND(VLOOKUP($G305,factors,+AE$318)*$I305,0)</f>
        <v>0</v>
      </c>
      <c r="AF305" s="207"/>
      <c r="AG305" s="207">
        <f t="shared" ref="AG305:AG311" si="191">ROUND(VLOOKUP($G305,factors,+AG$318)*$I305,0)</f>
        <v>0</v>
      </c>
      <c r="AI305" s="208">
        <f t="shared" si="176"/>
        <v>0</v>
      </c>
    </row>
    <row r="306" spans="1:37" ht="15" customHeight="1">
      <c r="A306" s="200">
        <v>4773</v>
      </c>
      <c r="E306" s="276" t="s">
        <v>269</v>
      </c>
      <c r="F306" s="276"/>
      <c r="G306" s="325">
        <v>12</v>
      </c>
      <c r="H306" s="324"/>
      <c r="I306" s="361">
        <f>+A306*1000</f>
        <v>4773000</v>
      </c>
      <c r="K306" s="207">
        <f t="shared" si="180"/>
        <v>1020467</v>
      </c>
      <c r="M306" s="207">
        <f t="shared" si="181"/>
        <v>386136</v>
      </c>
      <c r="N306" s="207"/>
      <c r="O306" s="207">
        <f t="shared" si="182"/>
        <v>167532</v>
      </c>
      <c r="P306" s="207"/>
      <c r="Q306" s="207">
        <f t="shared" si="183"/>
        <v>124098</v>
      </c>
      <c r="R306" s="207"/>
      <c r="S306" s="207">
        <f t="shared" si="184"/>
        <v>392818</v>
      </c>
      <c r="T306" s="207"/>
      <c r="U306" s="216">
        <f t="shared" si="185"/>
        <v>15751</v>
      </c>
      <c r="V306" s="207"/>
      <c r="W306" s="207">
        <f t="shared" si="186"/>
        <v>2186511</v>
      </c>
      <c r="X306" s="207"/>
      <c r="Y306" s="207">
        <f t="shared" si="187"/>
        <v>299744</v>
      </c>
      <c r="Z306" s="207"/>
      <c r="AA306" s="207">
        <f t="shared" si="188"/>
        <v>84482</v>
      </c>
      <c r="AB306" s="207"/>
      <c r="AC306" s="207">
        <f t="shared" si="189"/>
        <v>63004</v>
      </c>
      <c r="AD306" s="207"/>
      <c r="AE306" s="207">
        <f t="shared" si="190"/>
        <v>14796</v>
      </c>
      <c r="AF306" s="207"/>
      <c r="AG306" s="207">
        <f t="shared" si="191"/>
        <v>17660</v>
      </c>
      <c r="AI306" s="208">
        <f t="shared" si="176"/>
        <v>-1</v>
      </c>
    </row>
    <row r="307" spans="1:37" ht="15" customHeight="1">
      <c r="A307" s="200">
        <v>2631</v>
      </c>
      <c r="E307" s="324" t="s">
        <v>362</v>
      </c>
      <c r="F307" s="324"/>
      <c r="G307" s="478">
        <v>1</v>
      </c>
      <c r="H307" s="324"/>
      <c r="I307" s="361">
        <f>+A307*1000</f>
        <v>2631000</v>
      </c>
      <c r="K307" s="207">
        <f t="shared" si="180"/>
        <v>2103748</v>
      </c>
      <c r="M307" s="207">
        <f t="shared" si="181"/>
        <v>527252</v>
      </c>
      <c r="N307" s="207"/>
      <c r="O307" s="207">
        <f t="shared" si="182"/>
        <v>0</v>
      </c>
      <c r="P307" s="207"/>
      <c r="Q307" s="207">
        <f t="shared" si="183"/>
        <v>0</v>
      </c>
      <c r="R307" s="207"/>
      <c r="S307" s="207">
        <f t="shared" si="184"/>
        <v>0</v>
      </c>
      <c r="T307" s="207"/>
      <c r="U307" s="216">
        <f t="shared" si="185"/>
        <v>0</v>
      </c>
      <c r="V307" s="207"/>
      <c r="W307" s="207">
        <f t="shared" si="186"/>
        <v>0</v>
      </c>
      <c r="X307" s="207"/>
      <c r="Y307" s="207">
        <f t="shared" si="187"/>
        <v>0</v>
      </c>
      <c r="Z307" s="207"/>
      <c r="AA307" s="207">
        <f t="shared" si="188"/>
        <v>0</v>
      </c>
      <c r="AB307" s="207"/>
      <c r="AC307" s="207">
        <f t="shared" si="189"/>
        <v>0</v>
      </c>
      <c r="AD307" s="207"/>
      <c r="AE307" s="207">
        <f t="shared" si="190"/>
        <v>0</v>
      </c>
      <c r="AF307" s="207"/>
      <c r="AG307" s="207">
        <f t="shared" si="191"/>
        <v>0</v>
      </c>
      <c r="AI307" s="208">
        <f t="shared" si="176"/>
        <v>0</v>
      </c>
    </row>
    <row r="308" spans="1:37" ht="15" customHeight="1">
      <c r="A308" s="200">
        <v>4621</v>
      </c>
      <c r="E308" s="276" t="s">
        <v>267</v>
      </c>
      <c r="F308" s="276"/>
      <c r="G308" s="325">
        <v>12</v>
      </c>
      <c r="H308" s="276"/>
      <c r="I308" s="361">
        <f>+A308*1000</f>
        <v>4621000</v>
      </c>
      <c r="K308" s="207">
        <f t="shared" si="180"/>
        <v>987970</v>
      </c>
      <c r="M308" s="207">
        <f t="shared" si="181"/>
        <v>373839</v>
      </c>
      <c r="N308" s="207"/>
      <c r="O308" s="207">
        <f t="shared" si="182"/>
        <v>162197</v>
      </c>
      <c r="P308" s="207"/>
      <c r="Q308" s="207">
        <f t="shared" si="183"/>
        <v>120146</v>
      </c>
      <c r="R308" s="207"/>
      <c r="S308" s="207">
        <f t="shared" si="184"/>
        <v>380308</v>
      </c>
      <c r="T308" s="207"/>
      <c r="U308" s="216">
        <f t="shared" si="185"/>
        <v>15249</v>
      </c>
      <c r="V308" s="207"/>
      <c r="W308" s="207">
        <f t="shared" si="186"/>
        <v>2116880</v>
      </c>
      <c r="X308" s="207"/>
      <c r="Y308" s="207">
        <f t="shared" si="187"/>
        <v>290199</v>
      </c>
      <c r="Z308" s="207"/>
      <c r="AA308" s="207">
        <f t="shared" si="188"/>
        <v>81792</v>
      </c>
      <c r="AB308" s="207"/>
      <c r="AC308" s="207">
        <f t="shared" si="189"/>
        <v>60997</v>
      </c>
      <c r="AD308" s="207"/>
      <c r="AE308" s="207">
        <f t="shared" si="190"/>
        <v>14325</v>
      </c>
      <c r="AF308" s="207"/>
      <c r="AG308" s="207">
        <f t="shared" si="191"/>
        <v>17098</v>
      </c>
      <c r="AI308" s="208">
        <f t="shared" si="176"/>
        <v>0</v>
      </c>
    </row>
    <row r="309" spans="1:37" ht="15" customHeight="1">
      <c r="A309" s="200">
        <v>-118433</v>
      </c>
      <c r="E309" s="276" t="s">
        <v>270</v>
      </c>
      <c r="F309" s="276"/>
      <c r="G309" s="325">
        <v>14</v>
      </c>
      <c r="H309" s="276"/>
      <c r="I309" s="361">
        <f t="shared" ref="I309:I311" si="192">+A309*1000</f>
        <v>-118433000</v>
      </c>
      <c r="K309" s="207">
        <f t="shared" si="180"/>
        <v>-37353768</v>
      </c>
      <c r="M309" s="207">
        <f t="shared" si="181"/>
        <v>-15408133</v>
      </c>
      <c r="N309" s="207"/>
      <c r="O309" s="207">
        <f t="shared" si="182"/>
        <v>-6608561</v>
      </c>
      <c r="P309" s="207"/>
      <c r="Q309" s="207">
        <f t="shared" si="183"/>
        <v>-4914970</v>
      </c>
      <c r="R309" s="207"/>
      <c r="S309" s="207">
        <f t="shared" si="184"/>
        <v>-10291828</v>
      </c>
      <c r="T309" s="207"/>
      <c r="U309" s="216">
        <f t="shared" si="185"/>
        <v>-615852</v>
      </c>
      <c r="V309" s="207"/>
      <c r="W309" s="207">
        <f t="shared" si="186"/>
        <v>-34215294</v>
      </c>
      <c r="X309" s="207"/>
      <c r="Y309" s="207">
        <f t="shared" si="187"/>
        <v>-6040083</v>
      </c>
      <c r="Z309" s="207"/>
      <c r="AA309" s="207">
        <f t="shared" si="188"/>
        <v>-1148800</v>
      </c>
      <c r="AB309" s="207"/>
      <c r="AC309" s="207">
        <f t="shared" si="189"/>
        <v>-1196173</v>
      </c>
      <c r="AD309" s="207"/>
      <c r="AE309" s="207">
        <f t="shared" si="190"/>
        <v>-307926</v>
      </c>
      <c r="AF309" s="207"/>
      <c r="AG309" s="207">
        <f t="shared" si="191"/>
        <v>-331612</v>
      </c>
      <c r="AI309" s="208">
        <f t="shared" si="176"/>
        <v>0</v>
      </c>
    </row>
    <row r="310" spans="1:37" s="95" customFormat="1" ht="15" customHeight="1">
      <c r="A310" s="95">
        <v>-4975</v>
      </c>
      <c r="E310" s="324" t="s">
        <v>41</v>
      </c>
      <c r="F310" s="324"/>
      <c r="G310" s="478">
        <v>8</v>
      </c>
      <c r="H310" s="324"/>
      <c r="I310" s="361">
        <f t="shared" si="192"/>
        <v>-4975000</v>
      </c>
      <c r="K310" s="229">
        <f t="shared" si="180"/>
        <v>0</v>
      </c>
      <c r="M310" s="229">
        <f t="shared" si="181"/>
        <v>0</v>
      </c>
      <c r="N310" s="229"/>
      <c r="O310" s="229">
        <f t="shared" si="182"/>
        <v>0</v>
      </c>
      <c r="P310" s="229"/>
      <c r="Q310" s="229">
        <f t="shared" si="183"/>
        <v>0</v>
      </c>
      <c r="R310" s="229"/>
      <c r="S310" s="229">
        <f t="shared" si="184"/>
        <v>0</v>
      </c>
      <c r="T310" s="229"/>
      <c r="U310" s="389">
        <f t="shared" si="185"/>
        <v>0</v>
      </c>
      <c r="V310" s="229"/>
      <c r="W310" s="229">
        <f t="shared" si="186"/>
        <v>-4495410</v>
      </c>
      <c r="X310" s="229"/>
      <c r="Y310" s="229">
        <f t="shared" si="187"/>
        <v>-479590</v>
      </c>
      <c r="Z310" s="229"/>
      <c r="AA310" s="229">
        <f t="shared" si="188"/>
        <v>0</v>
      </c>
      <c r="AB310" s="229"/>
      <c r="AC310" s="229">
        <f t="shared" si="189"/>
        <v>0</v>
      </c>
      <c r="AD310" s="229"/>
      <c r="AE310" s="229">
        <f t="shared" si="190"/>
        <v>0</v>
      </c>
      <c r="AF310" s="229"/>
      <c r="AG310" s="229">
        <f t="shared" si="191"/>
        <v>0</v>
      </c>
      <c r="AI310" s="208">
        <f t="shared" si="176"/>
        <v>0</v>
      </c>
    </row>
    <row r="311" spans="1:37" s="95" customFormat="1" ht="15" customHeight="1">
      <c r="A311" s="95">
        <v>0</v>
      </c>
      <c r="E311" s="324" t="s">
        <v>425</v>
      </c>
      <c r="F311" s="324"/>
      <c r="G311" s="478">
        <v>14</v>
      </c>
      <c r="H311" s="324"/>
      <c r="I311" s="479">
        <f t="shared" si="192"/>
        <v>0</v>
      </c>
      <c r="J311" s="206"/>
      <c r="K311" s="212">
        <f t="shared" si="180"/>
        <v>0</v>
      </c>
      <c r="L311" s="200"/>
      <c r="M311" s="212">
        <f t="shared" si="181"/>
        <v>0</v>
      </c>
      <c r="N311" s="207"/>
      <c r="O311" s="212">
        <f t="shared" si="182"/>
        <v>0</v>
      </c>
      <c r="P311" s="213"/>
      <c r="Q311" s="212">
        <f t="shared" si="183"/>
        <v>0</v>
      </c>
      <c r="R311" s="207"/>
      <c r="S311" s="212">
        <f t="shared" si="184"/>
        <v>0</v>
      </c>
      <c r="T311" s="213"/>
      <c r="U311" s="388">
        <f t="shared" si="185"/>
        <v>0</v>
      </c>
      <c r="V311" s="207"/>
      <c r="W311" s="212">
        <f t="shared" si="186"/>
        <v>0</v>
      </c>
      <c r="X311" s="207"/>
      <c r="Y311" s="212">
        <f t="shared" si="187"/>
        <v>0</v>
      </c>
      <c r="Z311" s="207"/>
      <c r="AA311" s="212">
        <f t="shared" si="188"/>
        <v>0</v>
      </c>
      <c r="AB311" s="213"/>
      <c r="AC311" s="212">
        <f t="shared" si="189"/>
        <v>0</v>
      </c>
      <c r="AD311" s="207"/>
      <c r="AE311" s="212">
        <f t="shared" si="190"/>
        <v>0</v>
      </c>
      <c r="AF311" s="207"/>
      <c r="AG311" s="212">
        <f t="shared" si="191"/>
        <v>0</v>
      </c>
      <c r="AI311" s="208">
        <f t="shared" si="176"/>
        <v>0</v>
      </c>
    </row>
    <row r="312" spans="1:37" ht="15" customHeight="1">
      <c r="E312" s="276" t="s">
        <v>271</v>
      </c>
      <c r="F312" s="276"/>
      <c r="G312" s="325"/>
      <c r="H312" s="276"/>
      <c r="I312" s="479">
        <f>SUM(I305:I311)</f>
        <v>-106654000</v>
      </c>
      <c r="K312" s="211">
        <f>SUM(K305:K311)</f>
        <v>-29884466</v>
      </c>
      <c r="M312" s="211">
        <f>SUM(M305:M311)</f>
        <v>-12749023</v>
      </c>
      <c r="O312" s="211">
        <f>SUM(O305:O311)</f>
        <v>-6278832</v>
      </c>
      <c r="P312" s="214"/>
      <c r="Q312" s="211">
        <f>SUM(Q305:Q311)</f>
        <v>-4670726</v>
      </c>
      <c r="S312" s="211">
        <f>SUM(S305:S311)</f>
        <v>-9518702</v>
      </c>
      <c r="T312" s="214"/>
      <c r="U312" s="388">
        <f>SUM(U305:U311)</f>
        <v>-584852</v>
      </c>
      <c r="W312" s="211">
        <f>SUM(W305:W311)</f>
        <v>-34407313</v>
      </c>
      <c r="Y312" s="211">
        <f>SUM(Y305:Y311)</f>
        <v>-5929730</v>
      </c>
      <c r="AA312" s="211">
        <f>SUM(AA305:AA311)</f>
        <v>-982526</v>
      </c>
      <c r="AB312" s="214"/>
      <c r="AC312" s="211">
        <f>SUM(AC305:AC311)</f>
        <v>-1072172</v>
      </c>
      <c r="AE312" s="211">
        <f t="shared" ref="AE312" si="193">SUM(AE305:AE311)</f>
        <v>-278805</v>
      </c>
      <c r="AG312" s="211">
        <f t="shared" ref="AG312" si="194">SUM(AG305:AG311)</f>
        <v>-296854</v>
      </c>
      <c r="AH312" s="211"/>
      <c r="AI312" s="208">
        <f t="shared" si="176"/>
        <v>-1</v>
      </c>
    </row>
    <row r="313" spans="1:37" ht="15" customHeight="1">
      <c r="E313" s="276"/>
      <c r="F313" s="276"/>
      <c r="G313" s="325"/>
      <c r="H313" s="276"/>
      <c r="I313" s="361"/>
      <c r="AI313" s="208">
        <f t="shared" si="176"/>
        <v>0</v>
      </c>
    </row>
    <row r="314" spans="1:37" ht="15" customHeight="1">
      <c r="E314" s="324" t="s">
        <v>553</v>
      </c>
      <c r="F314" s="276"/>
      <c r="G314" s="325"/>
      <c r="H314" s="276"/>
      <c r="I314" s="668">
        <f>+I312+I302</f>
        <v>555974814</v>
      </c>
      <c r="J314" s="51"/>
      <c r="K314" s="50">
        <f>+K312+K302</f>
        <v>175325648</v>
      </c>
      <c r="L314" s="51"/>
      <c r="M314" s="50">
        <f>+M312+M302</f>
        <v>72354183</v>
      </c>
      <c r="N314" s="51"/>
      <c r="O314" s="50">
        <f>+O312+O302</f>
        <v>31029906</v>
      </c>
      <c r="P314" s="178"/>
      <c r="Q314" s="50">
        <f>+Q312+Q302</f>
        <v>23039730</v>
      </c>
      <c r="R314" s="51"/>
      <c r="S314" s="50">
        <f>+S312+S302</f>
        <v>48321549.149673641</v>
      </c>
      <c r="T314" s="178"/>
      <c r="U314" s="386">
        <f>+U312+U302</f>
        <v>2890560</v>
      </c>
      <c r="V314" s="51"/>
      <c r="W314" s="50">
        <f>+W312+W302</f>
        <v>160664368</v>
      </c>
      <c r="X314" s="51"/>
      <c r="Y314" s="50">
        <f>+Y312+Y302</f>
        <v>28328835</v>
      </c>
      <c r="Z314" s="51"/>
      <c r="AA314" s="50">
        <f>+AA312+AA302</f>
        <v>5396678</v>
      </c>
      <c r="AB314" s="178"/>
      <c r="AC314" s="50">
        <f>+AC312+AC302</f>
        <v>5628164</v>
      </c>
      <c r="AD314" s="51"/>
      <c r="AE314" s="50">
        <f>+AE312+AE302</f>
        <v>1415649</v>
      </c>
      <c r="AF314" s="51"/>
      <c r="AG314" s="50">
        <f>+AG312+AG302</f>
        <v>1579541</v>
      </c>
      <c r="AH314" s="34"/>
      <c r="AI314" s="208">
        <f t="shared" si="176"/>
        <v>-2.8503262996673584</v>
      </c>
      <c r="AJ314" s="206"/>
      <c r="AK314" s="206"/>
    </row>
    <row r="315" spans="1:37" ht="15" customHeight="1">
      <c r="E315" s="276"/>
      <c r="F315" s="276"/>
      <c r="G315" s="325"/>
      <c r="H315" s="276"/>
      <c r="I315" s="361"/>
      <c r="AI315" s="208"/>
    </row>
    <row r="316" spans="1:37">
      <c r="E316" s="276"/>
      <c r="F316" s="276"/>
      <c r="G316" s="325"/>
      <c r="H316" s="276"/>
      <c r="I316" s="361"/>
      <c r="K316" s="201"/>
      <c r="L316" s="201"/>
      <c r="M316" s="215"/>
      <c r="N316" s="215"/>
      <c r="O316" s="215"/>
      <c r="P316" s="215"/>
      <c r="Q316" s="215"/>
      <c r="R316" s="201"/>
      <c r="S316" s="215"/>
      <c r="T316" s="215"/>
      <c r="U316" s="215"/>
      <c r="W316" s="201"/>
      <c r="X316" s="201"/>
      <c r="Y316" s="215"/>
      <c r="Z316" s="215"/>
      <c r="AA316" s="215"/>
      <c r="AB316" s="215"/>
      <c r="AC316" s="215"/>
      <c r="AD316" s="201"/>
      <c r="AE316" s="215"/>
      <c r="AF316" s="215"/>
      <c r="AG316" s="215"/>
    </row>
    <row r="317" spans="1:37">
      <c r="E317" s="276"/>
      <c r="F317" s="276"/>
      <c r="G317" s="325"/>
      <c r="H317" s="276"/>
      <c r="I317" s="361"/>
      <c r="K317" s="218" t="s">
        <v>346</v>
      </c>
      <c r="M317" s="218" t="s">
        <v>348</v>
      </c>
      <c r="N317" s="201"/>
      <c r="O317" s="218" t="s">
        <v>349</v>
      </c>
      <c r="P317" s="215"/>
      <c r="Q317" s="218" t="s">
        <v>350</v>
      </c>
      <c r="S317" s="218" t="s">
        <v>351</v>
      </c>
      <c r="T317" s="215"/>
      <c r="U317" s="218" t="s">
        <v>427</v>
      </c>
      <c r="W317" s="218" t="s">
        <v>346</v>
      </c>
      <c r="Y317" s="218" t="s">
        <v>348</v>
      </c>
      <c r="Z317" s="201"/>
      <c r="AA317" s="218" t="s">
        <v>349</v>
      </c>
      <c r="AB317" s="215"/>
      <c r="AC317" s="218" t="s">
        <v>350</v>
      </c>
      <c r="AE317" s="218" t="s">
        <v>351</v>
      </c>
      <c r="AF317" s="215"/>
      <c r="AG317" s="218" t="s">
        <v>427</v>
      </c>
    </row>
    <row r="318" spans="1:37">
      <c r="E318" s="276"/>
      <c r="F318" s="276"/>
      <c r="G318" s="325"/>
      <c r="H318" s="276"/>
      <c r="I318" s="361"/>
      <c r="K318" s="200">
        <v>2</v>
      </c>
      <c r="M318" s="200">
        <v>4</v>
      </c>
      <c r="O318" s="200">
        <v>6</v>
      </c>
      <c r="Q318" s="201">
        <v>8</v>
      </c>
      <c r="S318" s="200">
        <f>+Q318+2</f>
        <v>10</v>
      </c>
      <c r="U318" s="200">
        <v>12</v>
      </c>
      <c r="W318" s="200">
        <v>14</v>
      </c>
      <c r="Y318" s="200">
        <f t="shared" ref="Y318" si="195">+W318+2</f>
        <v>16</v>
      </c>
      <c r="AA318" s="200">
        <f t="shared" ref="AA318" si="196">+Y318+2</f>
        <v>18</v>
      </c>
      <c r="AC318" s="200">
        <f t="shared" ref="AC318" si="197">+AA318+2</f>
        <v>20</v>
      </c>
      <c r="AE318" s="200">
        <f t="shared" ref="AE318" si="198">+AC318+2</f>
        <v>22</v>
      </c>
      <c r="AG318" s="200">
        <f t="shared" ref="AG318" si="199">+AE318+2</f>
        <v>24</v>
      </c>
    </row>
    <row r="319" spans="1:37">
      <c r="E319" s="276"/>
      <c r="F319" s="276"/>
      <c r="G319" s="325"/>
      <c r="H319" s="276"/>
      <c r="I319" s="361"/>
    </row>
    <row r="320" spans="1:37">
      <c r="E320" s="276"/>
      <c r="F320" s="361" t="s">
        <v>335</v>
      </c>
      <c r="G320" s="325"/>
      <c r="H320" s="276"/>
      <c r="I320" s="276"/>
      <c r="J320" s="200">
        <v>1</v>
      </c>
      <c r="K320" s="219">
        <f>+'Ft  1to4'!F19</f>
        <v>0.79959999999999998</v>
      </c>
      <c r="L320" s="219"/>
      <c r="M320" s="219">
        <f>+'Ft  1to4'!F20</f>
        <v>0.20039999999999999</v>
      </c>
      <c r="N320" s="219"/>
      <c r="O320" s="219">
        <f>+'Ft  1to4'!F21</f>
        <v>0</v>
      </c>
      <c r="P320" s="219"/>
      <c r="Q320" s="219">
        <f>+'Ft  1to4'!F22</f>
        <v>0</v>
      </c>
      <c r="R320" s="219"/>
      <c r="S320" s="219">
        <f>+'Ft  1to4'!F23</f>
        <v>0</v>
      </c>
      <c r="T320" s="219"/>
      <c r="U320" s="219">
        <f>+'Ft  1to4'!F24</f>
        <v>0</v>
      </c>
      <c r="V320" s="219"/>
      <c r="W320" s="219"/>
      <c r="X320" s="219"/>
      <c r="Y320" s="219"/>
      <c r="Z320" s="219"/>
      <c r="AA320" s="219"/>
      <c r="AB320" s="219"/>
      <c r="AC320" s="219"/>
      <c r="AD320" s="219"/>
      <c r="AE320" s="219"/>
      <c r="AF320" s="219"/>
      <c r="AG320" s="219"/>
      <c r="AI320" s="219">
        <f t="shared" ref="AI320:AI327" si="200">SUM(K320:AG320)</f>
        <v>1</v>
      </c>
      <c r="AJ320" s="54" t="str">
        <f>+IF(AI320=1,"0k","&lt;&lt;&lt;??")</f>
        <v>0k</v>
      </c>
      <c r="AK320" s="631">
        <v>1</v>
      </c>
    </row>
    <row r="321" spans="5:37">
      <c r="E321" s="276"/>
      <c r="F321" s="361"/>
      <c r="G321" s="325"/>
      <c r="H321" s="276"/>
      <c r="I321" s="276"/>
      <c r="J321" s="95" t="s">
        <v>633</v>
      </c>
      <c r="K321" s="219">
        <f>+'Ft  1to4'!K19</f>
        <v>0.70989999999999998</v>
      </c>
      <c r="L321" s="219"/>
      <c r="M321" s="219">
        <f>+'Ft  1to4'!K20</f>
        <v>0.29010000000000002</v>
      </c>
      <c r="N321" s="219"/>
      <c r="O321" s="219"/>
      <c r="P321" s="219"/>
      <c r="Q321" s="219"/>
      <c r="R321" s="219"/>
      <c r="S321" s="219"/>
      <c r="T321" s="219"/>
      <c r="U321" s="219"/>
      <c r="V321" s="219"/>
      <c r="W321" s="219"/>
      <c r="X321" s="219"/>
      <c r="Y321" s="219"/>
      <c r="Z321" s="219"/>
      <c r="AA321" s="219"/>
      <c r="AB321" s="219"/>
      <c r="AC321" s="219"/>
      <c r="AD321" s="219"/>
      <c r="AE321" s="219"/>
      <c r="AF321" s="219"/>
      <c r="AG321" s="219"/>
      <c r="AI321" s="219">
        <f t="shared" ref="AI321" si="201">SUM(K321:AG321)</f>
        <v>1</v>
      </c>
      <c r="AJ321" s="54" t="str">
        <f>+IF(AI321=1,"0k","&lt;&lt;&lt;??")</f>
        <v>0k</v>
      </c>
      <c r="AK321" s="632" t="s">
        <v>633</v>
      </c>
    </row>
    <row r="322" spans="5:37">
      <c r="E322" s="276"/>
      <c r="F322" s="361" t="s">
        <v>336</v>
      </c>
      <c r="G322" s="325"/>
      <c r="H322" s="276"/>
      <c r="I322" s="276"/>
      <c r="J322" s="200">
        <v>2</v>
      </c>
      <c r="K322" s="219">
        <f>+'Ft  1to4'!V19</f>
        <v>9.7000000000000003E-2</v>
      </c>
      <c r="L322" s="219"/>
      <c r="M322" s="219">
        <f>+'Ft  1to4'!V20</f>
        <v>3.9600000000000003E-2</v>
      </c>
      <c r="N322" s="219"/>
      <c r="O322" s="219">
        <f>+'Ft  1to4'!V21</f>
        <v>2.3800000000000002E-2</v>
      </c>
      <c r="P322" s="219"/>
      <c r="Q322" s="219">
        <f>+'Ft  1to4'!V22</f>
        <v>3.2599999999999997E-2</v>
      </c>
      <c r="R322" s="219"/>
      <c r="S322" s="219">
        <f>+'Ft  1to4'!V23</f>
        <v>0.79969999999999997</v>
      </c>
      <c r="T322" s="219"/>
      <c r="U322" s="219">
        <f>+'Ft  1to4'!V24</f>
        <v>7.3000000000000001E-3</v>
      </c>
      <c r="V322" s="219"/>
      <c r="W322" s="219"/>
      <c r="X322" s="219"/>
      <c r="Y322" s="219"/>
      <c r="Z322" s="219"/>
      <c r="AA322" s="219"/>
      <c r="AB322" s="219"/>
      <c r="AC322" s="219"/>
      <c r="AD322" s="219"/>
      <c r="AE322" s="219"/>
      <c r="AF322" s="219"/>
      <c r="AG322" s="219"/>
      <c r="AI322" s="219">
        <f t="shared" si="200"/>
        <v>0.99999999999999989</v>
      </c>
      <c r="AJ322" s="54" t="str">
        <f t="shared" ref="AJ322:AJ360" si="202">+IF(AI322=1,"0k","&lt;&lt;&lt;??")</f>
        <v>0k</v>
      </c>
      <c r="AK322" s="631">
        <v>2</v>
      </c>
    </row>
    <row r="323" spans="5:37">
      <c r="E323" s="276"/>
      <c r="F323" s="361"/>
      <c r="G323" s="325"/>
      <c r="H323" s="276"/>
      <c r="I323" s="276"/>
      <c r="J323" s="95" t="s">
        <v>431</v>
      </c>
      <c r="K323" s="219">
        <f>+'Ft  1to4'!AD19</f>
        <v>2.6999999999999997E-3</v>
      </c>
      <c r="L323" s="219"/>
      <c r="M323" s="219">
        <f>+'Ft  1to4'!AD20</f>
        <v>1.8200000000000001E-2</v>
      </c>
      <c r="N323" s="219"/>
      <c r="O323" s="219">
        <f>+'Ft  1to4'!AD21</f>
        <v>2.7199999999999998E-2</v>
      </c>
      <c r="P323" s="219"/>
      <c r="Q323" s="219">
        <f>+'Ft  1to4'!AD22</f>
        <v>3.73E-2</v>
      </c>
      <c r="R323" s="219"/>
      <c r="S323" s="219">
        <f>+'Ft  1to4'!AD23</f>
        <v>0.91459999999999997</v>
      </c>
      <c r="T323" s="219"/>
      <c r="U323" s="219">
        <f>+'Ft  1to4'!AD24</f>
        <v>0</v>
      </c>
      <c r="V323" s="219"/>
      <c r="W323" s="219"/>
      <c r="X323" s="219"/>
      <c r="Y323" s="219"/>
      <c r="Z323" s="219"/>
      <c r="AA323" s="219"/>
      <c r="AB323" s="219"/>
      <c r="AC323" s="219"/>
      <c r="AD323" s="219"/>
      <c r="AE323" s="219"/>
      <c r="AF323" s="219"/>
      <c r="AG323" s="219"/>
      <c r="AI323" s="219">
        <f t="shared" si="200"/>
        <v>1</v>
      </c>
      <c r="AJ323" s="54" t="str">
        <f t="shared" ref="AJ323" si="203">+IF(AI323=1,"0k","&lt;&lt;&lt;??")</f>
        <v>0k</v>
      </c>
      <c r="AK323" s="632" t="s">
        <v>431</v>
      </c>
    </row>
    <row r="324" spans="5:37">
      <c r="E324" s="276"/>
      <c r="F324" s="361" t="s">
        <v>337</v>
      </c>
      <c r="G324" s="325"/>
      <c r="H324" s="276"/>
      <c r="I324" s="276"/>
      <c r="J324" s="200">
        <v>3</v>
      </c>
      <c r="K324" s="219">
        <f>+'Ftr 3 &amp; 6'!I17</f>
        <v>0.39890000000000003</v>
      </c>
      <c r="L324" s="219"/>
      <c r="M324" s="219">
        <f>+'Ftr 3 &amp; 6'!I18</f>
        <v>0.1668</v>
      </c>
      <c r="N324" s="219"/>
      <c r="O324" s="219">
        <f>+'Ftr 3 &amp; 6'!I19</f>
        <v>6.5500000000000003E-2</v>
      </c>
      <c r="P324" s="219"/>
      <c r="Q324" s="219">
        <f>+'Ftr 3 &amp; 6'!I20</f>
        <v>3.0800000000000001E-2</v>
      </c>
      <c r="R324" s="219"/>
      <c r="S324" s="219">
        <f>+'Ftr 3 &amp; 6'!I22</f>
        <v>0.33800000000000002</v>
      </c>
      <c r="T324" s="219"/>
      <c r="U324" s="219">
        <f>+'Ftr 3 &amp; 6'!I23</f>
        <v>0</v>
      </c>
      <c r="V324" s="219"/>
      <c r="W324" s="219"/>
      <c r="X324" s="219"/>
      <c r="Y324" s="219"/>
      <c r="Z324" s="219"/>
      <c r="AA324" s="219"/>
      <c r="AB324" s="219"/>
      <c r="AC324" s="219"/>
      <c r="AD324" s="219"/>
      <c r="AE324" s="219"/>
      <c r="AF324" s="219"/>
      <c r="AG324" s="219"/>
      <c r="AI324" s="219">
        <f t="shared" si="200"/>
        <v>1.0000000000000002</v>
      </c>
      <c r="AJ324" s="54" t="str">
        <f t="shared" si="202"/>
        <v>0k</v>
      </c>
      <c r="AK324" s="631">
        <v>3</v>
      </c>
    </row>
    <row r="325" spans="5:37">
      <c r="E325" s="276"/>
      <c r="F325" s="361" t="s">
        <v>338</v>
      </c>
      <c r="G325" s="325"/>
      <c r="H325" s="276"/>
      <c r="I325" s="276"/>
      <c r="J325" s="200">
        <v>4</v>
      </c>
      <c r="K325" s="219">
        <f>+'Ft  1to4'!Z44</f>
        <v>0.57109999999999994</v>
      </c>
      <c r="L325" s="219"/>
      <c r="M325" s="219">
        <f>+'Ft  1to4'!Z45</f>
        <v>0.23759999999999998</v>
      </c>
      <c r="N325" s="219"/>
      <c r="O325" s="219">
        <f>+'Ft  1to4'!Z46</f>
        <v>0.1042</v>
      </c>
      <c r="P325" s="219"/>
      <c r="Q325" s="219">
        <f>+'Ft  1to4'!Z47</f>
        <v>7.7399999999999997E-2</v>
      </c>
      <c r="R325" s="219"/>
      <c r="S325" s="219">
        <f>+'Ft  1to4'!Z48</f>
        <v>0</v>
      </c>
      <c r="T325" s="219"/>
      <c r="U325" s="219">
        <f>+'Ft  1to4'!Z49</f>
        <v>9.7000000000000003E-3</v>
      </c>
      <c r="V325" s="219"/>
      <c r="W325" s="219"/>
      <c r="X325" s="219"/>
      <c r="Y325" s="219"/>
      <c r="Z325" s="219"/>
      <c r="AA325" s="219"/>
      <c r="AB325" s="219"/>
      <c r="AC325" s="219"/>
      <c r="AD325" s="219"/>
      <c r="AE325" s="219"/>
      <c r="AF325" s="219"/>
      <c r="AG325" s="219"/>
      <c r="AI325" s="219">
        <f t="shared" si="200"/>
        <v>1</v>
      </c>
      <c r="AJ325" s="54" t="str">
        <f t="shared" si="202"/>
        <v>0k</v>
      </c>
      <c r="AK325" s="631">
        <v>4</v>
      </c>
    </row>
    <row r="326" spans="5:37">
      <c r="E326" s="276"/>
      <c r="F326" s="326" t="s">
        <v>467</v>
      </c>
      <c r="G326" s="325"/>
      <c r="H326" s="276"/>
      <c r="I326" s="276"/>
      <c r="J326" s="95" t="s">
        <v>466</v>
      </c>
      <c r="K326" s="219">
        <f>+'Ft  1to4'!Z68</f>
        <v>0.23499999999999999</v>
      </c>
      <c r="L326" s="219"/>
      <c r="M326" s="219">
        <f>+'Ft  1to4'!Z69</f>
        <v>9.7700000000000009E-2</v>
      </c>
      <c r="N326" s="219"/>
      <c r="O326" s="219">
        <f>+'Ft  1to4'!Z70</f>
        <v>4.2799999999999998E-2</v>
      </c>
      <c r="P326" s="219"/>
      <c r="Q326" s="219">
        <f>+'Ft  1to4'!Z71</f>
        <v>3.1800000000000002E-2</v>
      </c>
      <c r="R326" s="219"/>
      <c r="S326" s="219">
        <f>+'Ft  1to4'!Z72</f>
        <v>0.5887</v>
      </c>
      <c r="T326" s="219"/>
      <c r="U326" s="219">
        <f>+'Ft  1to4'!Z73</f>
        <v>4.0000000000000001E-3</v>
      </c>
      <c r="V326" s="219"/>
      <c r="W326" s="219"/>
      <c r="X326" s="219"/>
      <c r="Y326" s="219"/>
      <c r="Z326" s="219"/>
      <c r="AA326" s="219"/>
      <c r="AB326" s="219"/>
      <c r="AC326" s="219"/>
      <c r="AD326" s="219"/>
      <c r="AE326" s="219"/>
      <c r="AF326" s="219"/>
      <c r="AG326" s="219"/>
      <c r="AI326" s="219">
        <f t="shared" si="200"/>
        <v>1</v>
      </c>
      <c r="AJ326" s="54" t="str">
        <f t="shared" ref="AJ326" si="204">+IF(AI326=1,"0k","&lt;&lt;&lt;??")</f>
        <v>0k</v>
      </c>
      <c r="AK326" s="632" t="s">
        <v>466</v>
      </c>
    </row>
    <row r="327" spans="5:37">
      <c r="E327" s="276"/>
      <c r="F327" s="361" t="s">
        <v>340</v>
      </c>
      <c r="G327" s="325"/>
      <c r="H327" s="276"/>
      <c r="I327" s="276"/>
      <c r="J327" s="200">
        <v>5</v>
      </c>
      <c r="K327" s="219">
        <f>+'FTR 5&amp; 5A'!N18</f>
        <v>0.57109999999999994</v>
      </c>
      <c r="L327" s="219"/>
      <c r="M327" s="219">
        <f>+'FTR 5&amp; 5A'!N19</f>
        <v>0.23759999999999998</v>
      </c>
      <c r="N327" s="219"/>
      <c r="O327" s="219">
        <f>+'FTR 5&amp; 5A'!N20</f>
        <v>0.1042</v>
      </c>
      <c r="P327" s="219"/>
      <c r="Q327" s="219">
        <f>+'FTR 5&amp; 5A'!N21</f>
        <v>7.7399999999999997E-2</v>
      </c>
      <c r="R327" s="219"/>
      <c r="S327" s="219">
        <f>+'FTR 5&amp; 5A'!N22</f>
        <v>0</v>
      </c>
      <c r="T327" s="219">
        <f>+'FTR 5&amp; 5A'!Q21</f>
        <v>0</v>
      </c>
      <c r="U327" s="219">
        <f>+'FTR 5&amp; 5A'!N23</f>
        <v>9.7000000000000003E-3</v>
      </c>
      <c r="V327" s="219"/>
      <c r="W327" s="219"/>
      <c r="X327" s="219"/>
      <c r="Y327" s="219"/>
      <c r="Z327" s="219"/>
      <c r="AA327" s="219"/>
      <c r="AB327" s="219"/>
      <c r="AC327" s="219"/>
      <c r="AD327" s="219"/>
      <c r="AE327" s="219"/>
      <c r="AF327" s="219"/>
      <c r="AG327" s="219"/>
      <c r="AI327" s="219">
        <f t="shared" si="200"/>
        <v>1</v>
      </c>
      <c r="AJ327" s="54" t="str">
        <f t="shared" si="202"/>
        <v>0k</v>
      </c>
      <c r="AK327" s="631">
        <v>5</v>
      </c>
    </row>
    <row r="328" spans="5:37">
      <c r="E328" s="276"/>
      <c r="F328" s="361" t="s">
        <v>340</v>
      </c>
      <c r="G328" s="325"/>
      <c r="H328" s="276"/>
      <c r="I328" s="276"/>
      <c r="J328" s="200" t="s">
        <v>339</v>
      </c>
      <c r="K328" s="219">
        <f>+'FTR 5&amp; 5A'!N46</f>
        <v>0</v>
      </c>
      <c r="L328" s="219"/>
      <c r="M328" s="219">
        <f>+'FTR 5&amp; 5A'!N47</f>
        <v>0</v>
      </c>
      <c r="N328" s="219"/>
      <c r="O328" s="219">
        <f>+'FTR 5&amp; 5A'!N48</f>
        <v>0</v>
      </c>
      <c r="P328" s="219"/>
      <c r="Q328" s="219">
        <f>+'FTR 5&amp; 5A'!N49</f>
        <v>0</v>
      </c>
      <c r="R328" s="219">
        <f>+'FTR 5&amp; 5A'!O49</f>
        <v>0</v>
      </c>
      <c r="S328" s="219">
        <f>+'FTR 5&amp; 5A'!N50</f>
        <v>0</v>
      </c>
      <c r="T328" s="219">
        <f>+'FTR 5&amp; 5A'!Q49</f>
        <v>0</v>
      </c>
      <c r="U328" s="219">
        <f>+'FTR 5&amp; 5A'!N51</f>
        <v>0</v>
      </c>
      <c r="V328" s="219"/>
      <c r="W328" s="219"/>
      <c r="X328" s="219"/>
      <c r="Y328" s="219"/>
      <c r="Z328" s="219"/>
      <c r="AA328" s="219"/>
      <c r="AB328" s="219"/>
      <c r="AC328" s="219"/>
      <c r="AD328" s="219"/>
      <c r="AE328" s="219"/>
      <c r="AF328" s="219"/>
      <c r="AG328" s="219"/>
      <c r="AI328" s="219">
        <f t="shared" ref="AI328:AI329" si="205">SUM(K328:AG328)</f>
        <v>0</v>
      </c>
      <c r="AJ328" s="54" t="str">
        <f t="shared" ref="AJ328:AJ329" si="206">+IF(AI328=1,"0k","&lt;&lt;&lt;??")</f>
        <v>&lt;&lt;&lt;??</v>
      </c>
      <c r="AK328" s="631" t="s">
        <v>339</v>
      </c>
    </row>
    <row r="329" spans="5:37">
      <c r="E329" s="276"/>
      <c r="F329" s="361" t="s">
        <v>340</v>
      </c>
      <c r="G329" s="325"/>
      <c r="H329" s="276"/>
      <c r="I329" s="276"/>
      <c r="J329" s="95" t="s">
        <v>463</v>
      </c>
      <c r="K329" s="219">
        <f>+'FTR 5&amp; 5A'!N73</f>
        <v>0</v>
      </c>
      <c r="L329" s="219"/>
      <c r="M329" s="219">
        <f>+'FTR 5&amp; 5A'!N74</f>
        <v>0</v>
      </c>
      <c r="N329" s="219"/>
      <c r="O329" s="219">
        <f>+'FTR 5&amp; 5A'!N75</f>
        <v>0</v>
      </c>
      <c r="P329" s="219"/>
      <c r="Q329" s="219">
        <f>+'FTR 5&amp; 5A'!N76</f>
        <v>0</v>
      </c>
      <c r="R329" s="219"/>
      <c r="S329" s="219">
        <f>+'FTR 5&amp; 5A'!N77</f>
        <v>0</v>
      </c>
      <c r="T329" s="219">
        <f>+'FTR 5&amp; 5A'!O77</f>
        <v>0</v>
      </c>
      <c r="U329" s="219">
        <f>+'FTR 5&amp; 5A'!N78</f>
        <v>0</v>
      </c>
      <c r="V329" s="219"/>
      <c r="W329" s="219"/>
      <c r="X329" s="219"/>
      <c r="Y329" s="219"/>
      <c r="Z329" s="219"/>
      <c r="AA329" s="219"/>
      <c r="AB329" s="219"/>
      <c r="AC329" s="219"/>
      <c r="AD329" s="219"/>
      <c r="AE329" s="219"/>
      <c r="AF329" s="219"/>
      <c r="AG329" s="219"/>
      <c r="AI329" s="219">
        <f t="shared" si="205"/>
        <v>0</v>
      </c>
      <c r="AJ329" s="54" t="str">
        <f t="shared" si="206"/>
        <v>&lt;&lt;&lt;??</v>
      </c>
      <c r="AK329" s="632" t="s">
        <v>463</v>
      </c>
    </row>
    <row r="330" spans="5:37">
      <c r="E330" s="276"/>
      <c r="F330" s="361" t="s">
        <v>341</v>
      </c>
      <c r="G330" s="325"/>
      <c r="H330" s="276"/>
      <c r="I330" s="276"/>
      <c r="J330" s="200">
        <v>6</v>
      </c>
      <c r="K330" s="219">
        <v>0</v>
      </c>
      <c r="M330" s="219">
        <v>0</v>
      </c>
      <c r="O330" s="219">
        <v>0</v>
      </c>
      <c r="P330" s="219"/>
      <c r="Q330" s="219">
        <v>0</v>
      </c>
      <c r="S330" s="219">
        <v>0</v>
      </c>
      <c r="T330" s="219"/>
      <c r="U330" s="219">
        <v>0</v>
      </c>
      <c r="V330" s="219"/>
      <c r="W330" s="822">
        <f>+'Ftr 3 &amp; 6'!I61</f>
        <v>0.42059999999999997</v>
      </c>
      <c r="X330" s="822"/>
      <c r="Y330" s="822">
        <f>+'Ftr 3 &amp; 6'!I62</f>
        <v>0.3271</v>
      </c>
      <c r="Z330" s="822"/>
      <c r="AA330" s="822">
        <f>+'Ftr 3 &amp; 6'!I63</f>
        <v>0.1666</v>
      </c>
      <c r="AB330" s="822"/>
      <c r="AC330" s="822">
        <f>+'Ftr 3 &amp; 6'!I64</f>
        <v>6.6900000000000001E-2</v>
      </c>
      <c r="AD330" s="822"/>
      <c r="AE330" s="822">
        <f>+'Ftr 3 &amp; 6'!I65</f>
        <v>2.8E-3</v>
      </c>
      <c r="AF330" s="822"/>
      <c r="AG330" s="822">
        <f>+'Ftr 3 &amp; 6'!I66</f>
        <v>1.6E-2</v>
      </c>
      <c r="AI330" s="219">
        <f>SUM(K330:AG330)</f>
        <v>1</v>
      </c>
      <c r="AJ330" s="54" t="str">
        <f t="shared" si="202"/>
        <v>0k</v>
      </c>
      <c r="AK330" s="631">
        <v>6</v>
      </c>
    </row>
    <row r="331" spans="5:37">
      <c r="E331" s="276"/>
      <c r="F331" s="361" t="s">
        <v>358</v>
      </c>
      <c r="G331" s="325"/>
      <c r="H331" s="276"/>
      <c r="I331" s="276"/>
      <c r="J331" s="200" t="s">
        <v>305</v>
      </c>
      <c r="K331" s="219"/>
      <c r="M331" s="219"/>
      <c r="O331" s="219"/>
      <c r="P331" s="219"/>
      <c r="Q331" s="219"/>
      <c r="S331" s="219"/>
      <c r="T331" s="219"/>
      <c r="U331" s="219"/>
      <c r="V331" s="219"/>
      <c r="W331" s="219">
        <f>+'Ftr 3 &amp; 6'!I80</f>
        <v>0.87490000000000001</v>
      </c>
      <c r="X331" s="219"/>
      <c r="Y331" s="219">
        <f>+'Ftr 3 &amp; 6'!I81</f>
        <v>0.12509999999999999</v>
      </c>
      <c r="Z331" s="219"/>
      <c r="AA331" s="219">
        <v>0</v>
      </c>
      <c r="AB331" s="219"/>
      <c r="AC331" s="219">
        <v>0</v>
      </c>
      <c r="AD331" s="219"/>
      <c r="AE331" s="219">
        <v>0</v>
      </c>
      <c r="AF331" s="219"/>
      <c r="AG331" s="219">
        <v>0</v>
      </c>
      <c r="AI331" s="219">
        <f>SUM(K331:AG331)</f>
        <v>1</v>
      </c>
      <c r="AJ331" s="54" t="str">
        <f t="shared" si="202"/>
        <v>0k</v>
      </c>
      <c r="AK331" s="631" t="s">
        <v>305</v>
      </c>
    </row>
    <row r="332" spans="5:37">
      <c r="E332" s="276"/>
      <c r="F332" s="361" t="s">
        <v>342</v>
      </c>
      <c r="G332" s="325"/>
      <c r="H332" s="276"/>
      <c r="I332" s="276"/>
      <c r="J332" s="200" t="s">
        <v>330</v>
      </c>
      <c r="K332" s="219"/>
      <c r="M332" s="219"/>
      <c r="O332" s="219"/>
      <c r="P332" s="219"/>
      <c r="Q332" s="219"/>
      <c r="S332" s="219"/>
      <c r="T332" s="219"/>
      <c r="U332" s="219"/>
      <c r="V332" s="219"/>
      <c r="W332" s="219"/>
      <c r="X332" s="219"/>
      <c r="Y332" s="219">
        <f>+'Ftr 3 &amp; 6'!I102</f>
        <v>0</v>
      </c>
      <c r="Z332" s="219"/>
      <c r="AA332" s="219">
        <v>0</v>
      </c>
      <c r="AB332" s="219"/>
      <c r="AC332" s="219">
        <f>+'Ftr 3 &amp; 6'!I103</f>
        <v>0.60040000000000004</v>
      </c>
      <c r="AD332" s="219"/>
      <c r="AE332" s="219">
        <f>+'Ftr 3 &amp; 6'!I104</f>
        <v>0.21659999999999999</v>
      </c>
      <c r="AF332" s="219"/>
      <c r="AG332" s="219">
        <f>+'Ftr 3 &amp; 6'!I105</f>
        <v>0.183</v>
      </c>
      <c r="AI332" s="219">
        <f>SUM(K332:AG332)</f>
        <v>1</v>
      </c>
      <c r="AJ332" s="54" t="str">
        <f t="shared" si="202"/>
        <v>0k</v>
      </c>
      <c r="AK332" s="631" t="s">
        <v>330</v>
      </c>
    </row>
    <row r="333" spans="5:37">
      <c r="E333" s="276"/>
      <c r="F333" s="361" t="s">
        <v>161</v>
      </c>
      <c r="G333" s="325"/>
      <c r="H333" s="276"/>
      <c r="I333" s="276"/>
      <c r="J333" s="200" t="s">
        <v>403</v>
      </c>
      <c r="K333" s="219"/>
      <c r="M333" s="219"/>
      <c r="O333" s="219"/>
      <c r="P333" s="219"/>
      <c r="Q333" s="219"/>
      <c r="S333" s="219"/>
      <c r="T333" s="219"/>
      <c r="U333" s="219"/>
      <c r="V333" s="219"/>
      <c r="W333" s="219">
        <f>+'Ftr 3 &amp; 6'!I118</f>
        <v>0.86470000000000002</v>
      </c>
      <c r="X333" s="219"/>
      <c r="Y333" s="219">
        <f>+'Ftr 3 &amp; 6'!I119</f>
        <v>0.1234</v>
      </c>
      <c r="Z333" s="219"/>
      <c r="AA333" s="219">
        <f>+'Ftr 3 &amp; 6'!I120</f>
        <v>7.1000000000000004E-3</v>
      </c>
      <c r="AB333" s="219"/>
      <c r="AC333" s="219">
        <f>+'Ftr 3 &amp; 6'!I121</f>
        <v>3.3E-3</v>
      </c>
      <c r="AD333" s="219"/>
      <c r="AE333" s="219">
        <f>+'Ftr 3 &amp; 6'!I122</f>
        <v>6.9999999999999999E-4</v>
      </c>
      <c r="AF333" s="219"/>
      <c r="AG333" s="219">
        <f>+'Ftr 3 &amp; 6'!I123</f>
        <v>8.0000000000000004E-4</v>
      </c>
      <c r="AI333" s="219">
        <f>SUM(K333:AG333)</f>
        <v>1</v>
      </c>
      <c r="AJ333" s="54" t="str">
        <f t="shared" si="202"/>
        <v>0k</v>
      </c>
      <c r="AK333" s="631" t="s">
        <v>403</v>
      </c>
    </row>
    <row r="334" spans="5:37">
      <c r="E334" s="276"/>
      <c r="F334" s="361" t="s">
        <v>343</v>
      </c>
      <c r="G334" s="325"/>
      <c r="H334" s="276"/>
      <c r="I334" s="276"/>
      <c r="J334" s="200">
        <v>7</v>
      </c>
      <c r="K334" s="219"/>
      <c r="M334" s="219"/>
      <c r="O334" s="219"/>
      <c r="P334" s="219"/>
      <c r="Q334" s="219"/>
      <c r="S334" s="219"/>
      <c r="T334" s="219"/>
      <c r="U334" s="219"/>
      <c r="V334" s="219"/>
      <c r="W334" s="219">
        <f>+'Ft 7to9'!I17</f>
        <v>0.9002</v>
      </c>
      <c r="X334" s="219"/>
      <c r="Y334" s="219">
        <f>+'Ft 7to9'!I18</f>
        <v>9.6100000000000005E-2</v>
      </c>
      <c r="Z334" s="219"/>
      <c r="AA334" s="219">
        <f>+'Ft 7to9'!I19</f>
        <v>2.5999999999999999E-3</v>
      </c>
      <c r="AB334" s="219"/>
      <c r="AC334" s="219">
        <f>+'Ft 7to9'!I20</f>
        <v>8.0000000000000004E-4</v>
      </c>
      <c r="AD334" s="219"/>
      <c r="AE334" s="219">
        <f>+'Ft 7to9'!I21</f>
        <v>1E-4</v>
      </c>
      <c r="AF334" s="219"/>
      <c r="AG334" s="219">
        <f>+'Ft 7to9'!I22</f>
        <v>2.0000000000000001E-4</v>
      </c>
      <c r="AI334" s="219">
        <f>SUM(K334:AG334)</f>
        <v>1</v>
      </c>
      <c r="AJ334" s="54" t="str">
        <f t="shared" si="202"/>
        <v>0k</v>
      </c>
      <c r="AK334" s="631">
        <v>7</v>
      </c>
    </row>
    <row r="335" spans="5:37">
      <c r="E335" s="276"/>
      <c r="F335" s="361" t="s">
        <v>344</v>
      </c>
      <c r="G335" s="325"/>
      <c r="H335" s="276"/>
      <c r="I335" s="276"/>
      <c r="J335" s="200" t="s">
        <v>334</v>
      </c>
      <c r="K335" s="219"/>
      <c r="M335" s="219"/>
      <c r="O335" s="219"/>
      <c r="P335" s="219"/>
      <c r="Q335" s="219"/>
      <c r="S335" s="219"/>
      <c r="T335" s="219"/>
      <c r="U335" s="219"/>
      <c r="V335" s="219"/>
      <c r="W335" s="219">
        <f>+'Ft 7to9'!M17</f>
        <v>0</v>
      </c>
      <c r="X335" s="219"/>
      <c r="Y335" s="219">
        <f>+'Ft 7to9'!M18</f>
        <v>0</v>
      </c>
      <c r="Z335" s="219"/>
      <c r="AA335" s="219">
        <f>+'Ft 7to9'!M19</f>
        <v>0</v>
      </c>
      <c r="AB335" s="219"/>
      <c r="AC335" s="219">
        <f>+'Ft 7to9'!M20</f>
        <v>0</v>
      </c>
      <c r="AD335" s="219"/>
      <c r="AE335" s="219">
        <f>+'Ft 7to9'!M21</f>
        <v>0</v>
      </c>
      <c r="AF335" s="219"/>
      <c r="AG335" s="219">
        <f>+'Ft 7to9'!M22</f>
        <v>0</v>
      </c>
      <c r="AI335" s="219"/>
      <c r="AJ335" s="54"/>
      <c r="AK335" s="631" t="s">
        <v>334</v>
      </c>
    </row>
    <row r="336" spans="5:37">
      <c r="E336" s="276"/>
      <c r="F336" s="361" t="s">
        <v>345</v>
      </c>
      <c r="G336" s="325"/>
      <c r="H336" s="276"/>
      <c r="I336" s="276"/>
      <c r="J336" s="200">
        <v>8</v>
      </c>
      <c r="K336" s="219">
        <v>0</v>
      </c>
      <c r="L336" s="219"/>
      <c r="M336" s="219">
        <v>0</v>
      </c>
      <c r="N336" s="219"/>
      <c r="O336" s="219">
        <v>0</v>
      </c>
      <c r="P336" s="219"/>
      <c r="Q336" s="219"/>
      <c r="R336" s="219"/>
      <c r="S336" s="219">
        <v>0</v>
      </c>
      <c r="T336" s="219"/>
      <c r="U336" s="219"/>
      <c r="V336" s="219"/>
      <c r="W336" s="219">
        <f>+'Ft 7to9'!I36</f>
        <v>0.90359999999999996</v>
      </c>
      <c r="X336" s="219"/>
      <c r="Y336" s="219">
        <f>+'Ft 7to9'!I37</f>
        <v>9.64E-2</v>
      </c>
      <c r="Z336" s="219"/>
      <c r="AA336" s="219"/>
      <c r="AB336" s="219"/>
      <c r="AC336" s="219"/>
      <c r="AD336" s="219"/>
      <c r="AE336" s="219"/>
      <c r="AF336" s="219"/>
      <c r="AG336" s="219"/>
      <c r="AI336" s="219">
        <f>SUM(K336:AG336)</f>
        <v>1</v>
      </c>
      <c r="AJ336" s="54" t="str">
        <f t="shared" si="202"/>
        <v>0k</v>
      </c>
      <c r="AK336" s="631">
        <v>8</v>
      </c>
    </row>
    <row r="337" spans="2:37">
      <c r="E337" s="276"/>
      <c r="F337" s="361" t="s">
        <v>346</v>
      </c>
      <c r="G337" s="325"/>
      <c r="H337" s="276"/>
      <c r="I337" s="276"/>
      <c r="J337" s="200">
        <v>9</v>
      </c>
      <c r="K337" s="219">
        <v>0</v>
      </c>
      <c r="L337" s="219"/>
      <c r="M337" s="219">
        <v>0</v>
      </c>
      <c r="N337" s="219"/>
      <c r="O337" s="219">
        <v>0</v>
      </c>
      <c r="P337" s="219"/>
      <c r="Q337" s="219"/>
      <c r="R337" s="219"/>
      <c r="S337" s="219">
        <v>0</v>
      </c>
      <c r="T337" s="219"/>
      <c r="U337" s="219"/>
      <c r="V337" s="219"/>
      <c r="W337" s="219">
        <v>1</v>
      </c>
      <c r="X337" s="219"/>
      <c r="Y337" s="219"/>
      <c r="Z337" s="219"/>
      <c r="AA337" s="219"/>
      <c r="AB337" s="219"/>
      <c r="AC337" s="219"/>
      <c r="AD337" s="219"/>
      <c r="AE337" s="219"/>
      <c r="AF337" s="219"/>
      <c r="AG337" s="219"/>
      <c r="AI337" s="219">
        <f>SUM(K337:AG337)</f>
        <v>1</v>
      </c>
      <c r="AJ337" s="54" t="str">
        <f t="shared" si="202"/>
        <v>0k</v>
      </c>
      <c r="AK337" s="631">
        <v>9</v>
      </c>
    </row>
    <row r="338" spans="2:37">
      <c r="E338" s="276"/>
      <c r="F338" s="361"/>
      <c r="G338" s="325"/>
      <c r="H338" s="276"/>
      <c r="I338" s="276"/>
      <c r="K338" s="219"/>
      <c r="L338" s="219"/>
      <c r="M338" s="219"/>
      <c r="N338" s="219"/>
      <c r="O338" s="219"/>
      <c r="P338" s="219"/>
      <c r="Q338" s="219"/>
      <c r="R338" s="219"/>
      <c r="S338" s="219"/>
      <c r="T338" s="219"/>
      <c r="U338" s="219"/>
      <c r="V338" s="219"/>
      <c r="W338" s="219"/>
      <c r="X338" s="219"/>
      <c r="Y338" s="219"/>
      <c r="Z338" s="219"/>
      <c r="AA338" s="219"/>
      <c r="AB338" s="219"/>
      <c r="AC338" s="219"/>
      <c r="AD338" s="219"/>
      <c r="AI338" s="219"/>
      <c r="AJ338" s="54"/>
      <c r="AK338" s="631"/>
    </row>
    <row r="339" spans="2:37">
      <c r="E339" s="276"/>
      <c r="F339" s="361" t="s">
        <v>347</v>
      </c>
      <c r="G339" s="325"/>
      <c r="H339" s="276"/>
      <c r="I339" s="276"/>
      <c r="K339" s="219"/>
      <c r="L339" s="219"/>
      <c r="M339" s="219"/>
      <c r="N339" s="219"/>
      <c r="O339" s="219"/>
      <c r="P339" s="219"/>
      <c r="Q339" s="219"/>
      <c r="R339" s="219"/>
      <c r="S339" s="219"/>
      <c r="T339" s="219"/>
      <c r="U339" s="219"/>
      <c r="V339" s="219"/>
      <c r="W339" s="219"/>
      <c r="X339" s="219"/>
      <c r="Y339" s="219"/>
      <c r="Z339" s="219"/>
      <c r="AA339" s="219"/>
      <c r="AB339" s="219"/>
      <c r="AC339" s="219"/>
      <c r="AD339" s="219"/>
      <c r="AI339" s="219"/>
      <c r="AJ339" s="54"/>
      <c r="AK339" s="631"/>
    </row>
    <row r="340" spans="2:37">
      <c r="E340" s="276"/>
      <c r="F340" s="276"/>
      <c r="G340" s="325"/>
      <c r="H340" s="276"/>
      <c r="I340" s="361" t="s">
        <v>404</v>
      </c>
      <c r="K340" s="206">
        <f>SUM(K62:K73)</f>
        <v>2040132</v>
      </c>
      <c r="M340" s="206">
        <f>SUM(M62:M73)</f>
        <v>848810</v>
      </c>
      <c r="O340" s="206">
        <f>SUM(O62:O73)</f>
        <v>372110</v>
      </c>
      <c r="Q340" s="206">
        <f>SUM(Q62:Q73)</f>
        <v>276328</v>
      </c>
      <c r="S340" s="206">
        <f>SUM(S62:S73)</f>
        <v>1243722</v>
      </c>
      <c r="T340" s="206"/>
      <c r="U340" s="206">
        <f>SUM(U62:U73)</f>
        <v>34784</v>
      </c>
      <c r="W340" s="206">
        <f>SUM(W62:W73)</f>
        <v>3690613</v>
      </c>
      <c r="Y340" s="206">
        <f>SUM(Y62:Y73)</f>
        <v>1018637</v>
      </c>
      <c r="AA340" s="206">
        <f>SUM(AA62:AA73)</f>
        <v>330819</v>
      </c>
      <c r="AC340" s="206">
        <f>SUM(AC62:AC73)</f>
        <v>183591</v>
      </c>
      <c r="AE340" s="206">
        <f>SUM(AE62:AE73)</f>
        <v>25279</v>
      </c>
      <c r="AG340" s="206">
        <f>SUM(AG62:AG73)</f>
        <v>47176</v>
      </c>
      <c r="AI340" s="206">
        <f t="shared" ref="AI340:AI353" si="207">SUM(K340:AG340)</f>
        <v>10112001</v>
      </c>
      <c r="AJ340" s="54"/>
      <c r="AK340" s="631"/>
    </row>
    <row r="341" spans="2:37">
      <c r="B341" s="219"/>
      <c r="E341" s="276"/>
      <c r="F341" s="276"/>
      <c r="G341" s="325"/>
      <c r="H341" s="276"/>
      <c r="I341" s="361"/>
      <c r="J341" s="200">
        <v>10</v>
      </c>
      <c r="K341" s="219">
        <f>ROUND(K340/$AI340,4)</f>
        <v>0.20180000000000001</v>
      </c>
      <c r="L341" s="219"/>
      <c r="M341" s="219">
        <f>ROUND(M340/$AI340,4)</f>
        <v>8.3900000000000002E-2</v>
      </c>
      <c r="N341" s="219"/>
      <c r="O341" s="219">
        <f>ROUND(O340/$AI340,4)</f>
        <v>3.6799999999999999E-2</v>
      </c>
      <c r="P341" s="219"/>
      <c r="Q341" s="219">
        <f>ROUND(Q340/$AI340,4)</f>
        <v>2.7300000000000001E-2</v>
      </c>
      <c r="R341" s="219"/>
      <c r="S341" s="219">
        <f>ROUND(S340/$AI340,4)</f>
        <v>0.123</v>
      </c>
      <c r="T341" s="219"/>
      <c r="U341" s="219">
        <f>ROUND(U340/$AI340,4)</f>
        <v>3.3999999999999998E-3</v>
      </c>
      <c r="V341" s="219"/>
      <c r="W341" s="219">
        <f>ROUND(W340/$AI340,4)</f>
        <v>0.36499999999999999</v>
      </c>
      <c r="X341" s="219"/>
      <c r="Y341" s="219">
        <f>ROUND(Y340/$AI340,4)</f>
        <v>0.1007</v>
      </c>
      <c r="Z341" s="219"/>
      <c r="AA341" s="219">
        <f>ROUND(AA340/$AI340,4)</f>
        <v>3.27E-2</v>
      </c>
      <c r="AB341" s="219"/>
      <c r="AC341" s="219">
        <f>ROUND(AC340/$AI340,4)</f>
        <v>1.8200000000000001E-2</v>
      </c>
      <c r="AD341" s="219"/>
      <c r="AE341" s="219">
        <f>ROUND(AE340/$AI340,4)</f>
        <v>2.5000000000000001E-3</v>
      </c>
      <c r="AF341" s="219"/>
      <c r="AG341" s="219">
        <f>ROUND(AG340/$AI340,4)</f>
        <v>4.7000000000000002E-3</v>
      </c>
      <c r="AI341" s="219">
        <f t="shared" si="207"/>
        <v>0.99999999999999989</v>
      </c>
      <c r="AJ341" s="54" t="str">
        <f t="shared" si="202"/>
        <v>0k</v>
      </c>
      <c r="AK341" s="631">
        <v>10</v>
      </c>
    </row>
    <row r="342" spans="2:37">
      <c r="B342" s="219"/>
      <c r="E342" s="276"/>
      <c r="F342" s="276"/>
      <c r="G342" s="325"/>
      <c r="H342" s="276"/>
      <c r="I342" s="361" t="s">
        <v>259</v>
      </c>
      <c r="K342" s="216">
        <f>+SUM(K80:K88)</f>
        <v>5338922</v>
      </c>
      <c r="L342" s="216">
        <f t="shared" ref="L342:AG342" si="208">+SUM(L80:L88)</f>
        <v>0</v>
      </c>
      <c r="M342" s="216">
        <f t="shared" si="208"/>
        <v>2221527</v>
      </c>
      <c r="N342" s="216">
        <f t="shared" si="208"/>
        <v>0</v>
      </c>
      <c r="O342" s="216">
        <f t="shared" si="208"/>
        <v>973995</v>
      </c>
      <c r="P342" s="216">
        <f t="shared" si="208"/>
        <v>0</v>
      </c>
      <c r="Q342" s="216">
        <f t="shared" si="208"/>
        <v>723233</v>
      </c>
      <c r="R342" s="216">
        <f t="shared" si="208"/>
        <v>0</v>
      </c>
      <c r="S342" s="216">
        <f t="shared" si="208"/>
        <v>1821273</v>
      </c>
      <c r="T342" s="216">
        <f t="shared" si="208"/>
        <v>0</v>
      </c>
      <c r="U342" s="216">
        <f t="shared" si="208"/>
        <v>91052</v>
      </c>
      <c r="V342" s="216">
        <f t="shared" si="208"/>
        <v>0</v>
      </c>
      <c r="W342" s="216">
        <f t="shared" si="208"/>
        <v>1526780</v>
      </c>
      <c r="X342" s="216">
        <f t="shared" si="208"/>
        <v>0</v>
      </c>
      <c r="Y342" s="216">
        <f t="shared" si="208"/>
        <v>410981</v>
      </c>
      <c r="Z342" s="216">
        <f t="shared" si="208"/>
        <v>0</v>
      </c>
      <c r="AA342" s="216">
        <f t="shared" si="208"/>
        <v>130491</v>
      </c>
      <c r="AB342" s="216">
        <f t="shared" si="208"/>
        <v>0</v>
      </c>
      <c r="AC342" s="216">
        <f t="shared" si="208"/>
        <v>307004</v>
      </c>
      <c r="AD342" s="216">
        <f t="shared" si="208"/>
        <v>0</v>
      </c>
      <c r="AE342" s="216">
        <f t="shared" si="208"/>
        <v>94636</v>
      </c>
      <c r="AF342" s="216">
        <f t="shared" si="208"/>
        <v>0</v>
      </c>
      <c r="AG342" s="216">
        <f t="shared" si="208"/>
        <v>90108</v>
      </c>
      <c r="AI342" s="206">
        <f t="shared" si="207"/>
        <v>13730002</v>
      </c>
      <c r="AJ342" s="54"/>
      <c r="AK342" s="631"/>
    </row>
    <row r="343" spans="2:37">
      <c r="B343" s="219"/>
      <c r="E343" s="276"/>
      <c r="F343" s="276"/>
      <c r="G343" s="325"/>
      <c r="H343" s="276"/>
      <c r="I343" s="361"/>
      <c r="J343" s="200">
        <v>11</v>
      </c>
      <c r="K343" s="219">
        <f>ROUND(K342/$AI342,4)</f>
        <v>0.38890000000000002</v>
      </c>
      <c r="L343" s="219"/>
      <c r="M343" s="219">
        <f>ROUND(M342/$AI342,4)</f>
        <v>0.1618</v>
      </c>
      <c r="N343" s="219"/>
      <c r="O343" s="219">
        <f>ROUND(O342/$AI342,4)</f>
        <v>7.0900000000000005E-2</v>
      </c>
      <c r="P343" s="219"/>
      <c r="Q343" s="219">
        <f>ROUND(Q342/$AI342,4)</f>
        <v>5.2699999999999997E-2</v>
      </c>
      <c r="R343" s="219"/>
      <c r="S343" s="219">
        <f>ROUND(S342/$AI342,4)</f>
        <v>0.1326</v>
      </c>
      <c r="T343" s="219"/>
      <c r="U343" s="219">
        <f>ROUND(U342/$AI342,4)</f>
        <v>6.6E-3</v>
      </c>
      <c r="V343" s="219"/>
      <c r="W343" s="219">
        <f>ROUND(W342/$AI342,4)</f>
        <v>0.11119999999999999</v>
      </c>
      <c r="X343" s="219"/>
      <c r="Y343" s="219">
        <f>ROUND(Y342/$AI342,4)</f>
        <v>2.9899999999999999E-2</v>
      </c>
      <c r="Z343" s="219"/>
      <c r="AA343" s="219">
        <f>ROUND(AA342/$AI342,4)</f>
        <v>9.4999999999999998E-3</v>
      </c>
      <c r="AB343" s="219"/>
      <c r="AC343" s="219">
        <f>ROUND(AC342/$AI342,4)</f>
        <v>2.24E-2</v>
      </c>
      <c r="AD343" s="219"/>
      <c r="AE343" s="219">
        <f>ROUND(AE342/$AI342,4)</f>
        <v>6.8999999999999999E-3</v>
      </c>
      <c r="AF343" s="219"/>
      <c r="AG343" s="219">
        <f>ROUND(AG342/$AI342,4)</f>
        <v>6.6E-3</v>
      </c>
      <c r="AI343" s="219">
        <f t="shared" si="207"/>
        <v>1</v>
      </c>
      <c r="AJ343" s="54" t="str">
        <f t="shared" si="202"/>
        <v>0k</v>
      </c>
      <c r="AK343" s="631">
        <v>11</v>
      </c>
    </row>
    <row r="344" spans="2:37">
      <c r="B344" s="219"/>
      <c r="E344" s="276"/>
      <c r="F344" s="276"/>
      <c r="G344" s="325"/>
      <c r="H344" s="276"/>
      <c r="I344" s="361" t="s">
        <v>260</v>
      </c>
      <c r="K344" s="206">
        <f>+K93+K104+K113+K123+K56+K50</f>
        <v>9217232</v>
      </c>
      <c r="L344" s="206">
        <f t="shared" ref="L344:AG344" si="209">+L93+L104+L113+L123+L56+L50</f>
        <v>0</v>
      </c>
      <c r="M344" s="206">
        <f t="shared" si="209"/>
        <v>3488134</v>
      </c>
      <c r="N344" s="206">
        <f t="shared" si="209"/>
        <v>0</v>
      </c>
      <c r="O344" s="206">
        <f t="shared" si="209"/>
        <v>1511356</v>
      </c>
      <c r="P344" s="206">
        <f t="shared" si="209"/>
        <v>0</v>
      </c>
      <c r="Q344" s="206">
        <f t="shared" si="209"/>
        <v>1122219</v>
      </c>
      <c r="R344" s="206">
        <f t="shared" si="209"/>
        <v>0</v>
      </c>
      <c r="S344" s="206">
        <f t="shared" si="209"/>
        <v>3548334</v>
      </c>
      <c r="T344" s="206">
        <f t="shared" si="209"/>
        <v>0</v>
      </c>
      <c r="U344" s="206">
        <f t="shared" si="209"/>
        <v>141136</v>
      </c>
      <c r="V344" s="206">
        <f t="shared" si="209"/>
        <v>0</v>
      </c>
      <c r="W344" s="206">
        <f t="shared" si="209"/>
        <v>19756045</v>
      </c>
      <c r="X344" s="206">
        <f t="shared" si="209"/>
        <v>0</v>
      </c>
      <c r="Y344" s="206">
        <f t="shared" si="209"/>
        <v>2708487</v>
      </c>
      <c r="Z344" s="206">
        <f t="shared" si="209"/>
        <v>0</v>
      </c>
      <c r="AA344" s="206">
        <f t="shared" si="209"/>
        <v>762200</v>
      </c>
      <c r="AB344" s="206">
        <f t="shared" si="209"/>
        <v>0</v>
      </c>
      <c r="AC344" s="206">
        <f t="shared" si="209"/>
        <v>568767</v>
      </c>
      <c r="AD344" s="206">
        <f t="shared" si="209"/>
        <v>0</v>
      </c>
      <c r="AE344" s="206">
        <f t="shared" si="209"/>
        <v>133121</v>
      </c>
      <c r="AF344" s="206">
        <f t="shared" si="209"/>
        <v>0</v>
      </c>
      <c r="AG344" s="206">
        <f t="shared" si="209"/>
        <v>157970</v>
      </c>
      <c r="AI344" s="206">
        <f t="shared" si="207"/>
        <v>43115001</v>
      </c>
      <c r="AJ344" s="54"/>
      <c r="AK344" s="631"/>
    </row>
    <row r="345" spans="2:37">
      <c r="B345" s="219"/>
      <c r="E345" s="276"/>
      <c r="F345" s="276"/>
      <c r="G345" s="325"/>
      <c r="H345" s="276"/>
      <c r="I345" s="276"/>
      <c r="J345" s="200">
        <v>12</v>
      </c>
      <c r="K345" s="244">
        <f>ROUND(K344/$AI344,4)</f>
        <v>0.21379999999999999</v>
      </c>
      <c r="L345" s="219"/>
      <c r="M345" s="219">
        <f>ROUND(M344/$AI344,4)</f>
        <v>8.09E-2</v>
      </c>
      <c r="N345" s="219"/>
      <c r="O345" s="219">
        <f>ROUND(O344/$AI344,4)</f>
        <v>3.5099999999999999E-2</v>
      </c>
      <c r="P345" s="219"/>
      <c r="Q345" s="219">
        <f>ROUND(Q344/$AI344,4)</f>
        <v>2.5999999999999999E-2</v>
      </c>
      <c r="R345" s="219"/>
      <c r="S345" s="219">
        <f>ROUND(S344/$AI344,4)</f>
        <v>8.2299999999999998E-2</v>
      </c>
      <c r="T345" s="219"/>
      <c r="U345" s="219">
        <f>ROUND(U344/$AI344,4)</f>
        <v>3.3E-3</v>
      </c>
      <c r="V345" s="219"/>
      <c r="W345" s="219">
        <f>ROUND(W344/$AI344,4)-0.0001</f>
        <v>0.45810000000000001</v>
      </c>
      <c r="X345" s="219"/>
      <c r="Y345" s="219">
        <f>ROUND(Y344/$AI344,4)</f>
        <v>6.2799999999999995E-2</v>
      </c>
      <c r="Z345" s="219"/>
      <c r="AA345" s="219">
        <f>ROUND(AA344/$AI344,4)</f>
        <v>1.77E-2</v>
      </c>
      <c r="AB345" s="219"/>
      <c r="AC345" s="219">
        <f>ROUND(AC344/$AI344,4)</f>
        <v>1.32E-2</v>
      </c>
      <c r="AD345" s="219"/>
      <c r="AE345" s="219">
        <f>ROUND(AE344/$AI344,4)</f>
        <v>3.0999999999999999E-3</v>
      </c>
      <c r="AF345" s="219"/>
      <c r="AG345" s="219">
        <f>ROUND(AG344/$AI344,4)</f>
        <v>3.7000000000000002E-3</v>
      </c>
      <c r="AI345" s="219">
        <f t="shared" si="207"/>
        <v>1</v>
      </c>
      <c r="AJ345" s="54" t="str">
        <f t="shared" si="202"/>
        <v>0k</v>
      </c>
      <c r="AK345" s="631">
        <v>12</v>
      </c>
    </row>
    <row r="346" spans="2:37">
      <c r="B346" s="219"/>
      <c r="E346" s="276"/>
      <c r="F346" s="276"/>
      <c r="G346" s="325"/>
      <c r="H346" s="276"/>
      <c r="I346" s="361" t="s">
        <v>263</v>
      </c>
      <c r="K346" s="206">
        <f>+K407</f>
        <v>4136689</v>
      </c>
      <c r="L346" s="219"/>
      <c r="M346" s="206">
        <f>+M407</f>
        <v>1673918</v>
      </c>
      <c r="N346" s="206"/>
      <c r="O346" s="206">
        <f>+O407</f>
        <v>727562</v>
      </c>
      <c r="P346" s="206"/>
      <c r="Q346" s="206">
        <f>+Q407</f>
        <v>539854</v>
      </c>
      <c r="R346" s="206"/>
      <c r="S346" s="206">
        <f>+S407</f>
        <v>1745347</v>
      </c>
      <c r="T346" s="206"/>
      <c r="U346" s="206">
        <f>+U407</f>
        <v>68011</v>
      </c>
      <c r="V346" s="219"/>
      <c r="W346" s="198">
        <f>+W407</f>
        <v>9499991</v>
      </c>
      <c r="X346" s="206"/>
      <c r="Y346" s="206">
        <f>+Y407</f>
        <v>1784605</v>
      </c>
      <c r="Z346" s="206"/>
      <c r="AA346" s="206">
        <f>+AA407</f>
        <v>511808</v>
      </c>
      <c r="AB346" s="206"/>
      <c r="AC346" s="206">
        <f>+AC407</f>
        <v>519492</v>
      </c>
      <c r="AD346" s="206"/>
      <c r="AE346" s="206">
        <f>+AE407</f>
        <v>126951</v>
      </c>
      <c r="AF346" s="206"/>
      <c r="AG346" s="206">
        <f>+AG407</f>
        <v>145781</v>
      </c>
      <c r="AH346" s="206"/>
      <c r="AI346" s="206">
        <f t="shared" si="207"/>
        <v>21480009</v>
      </c>
      <c r="AJ346" s="54"/>
      <c r="AK346" s="631"/>
    </row>
    <row r="347" spans="2:37">
      <c r="B347" s="219"/>
      <c r="E347" s="276"/>
      <c r="F347" s="276"/>
      <c r="G347" s="325"/>
      <c r="H347" s="276"/>
      <c r="I347" s="276"/>
      <c r="J347" s="200">
        <v>13</v>
      </c>
      <c r="K347" s="219">
        <f>ROUND(K346/$AI346,4)</f>
        <v>0.19259999999999999</v>
      </c>
      <c r="L347" s="219"/>
      <c r="M347" s="219">
        <f>ROUND(M346/$AI346,4)</f>
        <v>7.7899999999999997E-2</v>
      </c>
      <c r="N347" s="219"/>
      <c r="O347" s="219">
        <f>ROUND(O346/$AI346,4)</f>
        <v>3.39E-2</v>
      </c>
      <c r="P347" s="219"/>
      <c r="Q347" s="219">
        <f>ROUND(Q346/$AI346,4)</f>
        <v>2.5100000000000001E-2</v>
      </c>
      <c r="R347" s="219"/>
      <c r="S347" s="219">
        <f>ROUND(S346/$AI346,4)</f>
        <v>8.1299999999999997E-2</v>
      </c>
      <c r="T347" s="219"/>
      <c r="U347" s="219">
        <f>ROUND(U346/$AI346,4)</f>
        <v>3.2000000000000002E-3</v>
      </c>
      <c r="V347" s="219"/>
      <c r="W347" s="219">
        <f>ROUND(W346/$AI346,4)-0.0001</f>
        <v>0.44220000000000004</v>
      </c>
      <c r="X347" s="219"/>
      <c r="Y347" s="219">
        <f>ROUND(Y346/$AI346,4)</f>
        <v>8.3099999999999993E-2</v>
      </c>
      <c r="Z347" s="219"/>
      <c r="AA347" s="219">
        <f>ROUND(AA346/$AI346,4)</f>
        <v>2.3800000000000002E-2</v>
      </c>
      <c r="AB347" s="219"/>
      <c r="AC347" s="219">
        <f>ROUND(AC346/$AI346,4)</f>
        <v>2.4199999999999999E-2</v>
      </c>
      <c r="AD347" s="219"/>
      <c r="AE347" s="219">
        <f>ROUND(AE346/$AI346,4)</f>
        <v>5.8999999999999999E-3</v>
      </c>
      <c r="AF347" s="219"/>
      <c r="AG347" s="219">
        <f>ROUND(AG346/$AI346,4)</f>
        <v>6.7999999999999996E-3</v>
      </c>
      <c r="AI347" s="219">
        <f t="shared" si="207"/>
        <v>1</v>
      </c>
      <c r="AJ347" s="54" t="str">
        <f t="shared" si="202"/>
        <v>0k</v>
      </c>
      <c r="AK347" s="631">
        <v>13</v>
      </c>
    </row>
    <row r="348" spans="2:37">
      <c r="B348" s="219"/>
      <c r="E348" s="276"/>
      <c r="F348" s="276"/>
      <c r="G348" s="325"/>
      <c r="H348" s="276"/>
      <c r="I348" s="361" t="s">
        <v>264</v>
      </c>
      <c r="K348" s="206">
        <f>+K273+SUM(K305+K306)+K307+K308+K310+SUM(K277:K280)+K286+K289+K292</f>
        <v>212642719</v>
      </c>
      <c r="L348" s="206">
        <f t="shared" ref="L348:AG348" si="210">+L273+SUM(L305+L306)+L307+L308+L310+SUM(L277:L280)+L286+L289+L292</f>
        <v>0</v>
      </c>
      <c r="M348" s="206">
        <f t="shared" si="210"/>
        <v>87747178</v>
      </c>
      <c r="N348" s="206">
        <f t="shared" si="210"/>
        <v>0</v>
      </c>
      <c r="O348" s="206">
        <f t="shared" si="210"/>
        <v>37631974</v>
      </c>
      <c r="P348" s="206">
        <f t="shared" si="210"/>
        <v>0</v>
      </c>
      <c r="Q348" s="206">
        <f t="shared" si="210"/>
        <v>27949871</v>
      </c>
      <c r="R348" s="206">
        <f t="shared" si="210"/>
        <v>0</v>
      </c>
      <c r="S348" s="206">
        <f t="shared" si="210"/>
        <v>58603266.149673641</v>
      </c>
      <c r="T348" s="206">
        <f t="shared" si="210"/>
        <v>0</v>
      </c>
      <c r="U348" s="206">
        <f t="shared" si="210"/>
        <v>3505807</v>
      </c>
      <c r="V348" s="206">
        <f t="shared" si="210"/>
        <v>0</v>
      </c>
      <c r="W348" s="206">
        <f t="shared" si="210"/>
        <v>194846048</v>
      </c>
      <c r="X348" s="206">
        <f t="shared" si="210"/>
        <v>0</v>
      </c>
      <c r="Y348" s="206">
        <f t="shared" si="210"/>
        <v>34362984</v>
      </c>
      <c r="Z348" s="206">
        <f t="shared" si="210"/>
        <v>0</v>
      </c>
      <c r="AA348" s="206">
        <f t="shared" si="210"/>
        <v>6544349</v>
      </c>
      <c r="AB348" s="206">
        <f t="shared" si="210"/>
        <v>0</v>
      </c>
      <c r="AC348" s="206">
        <f t="shared" si="210"/>
        <v>6823162</v>
      </c>
      <c r="AD348" s="206">
        <f t="shared" si="210"/>
        <v>0</v>
      </c>
      <c r="AE348" s="206">
        <f t="shared" si="210"/>
        <v>1723273</v>
      </c>
      <c r="AF348" s="206">
        <f t="shared" si="210"/>
        <v>0</v>
      </c>
      <c r="AG348" s="206">
        <f t="shared" si="210"/>
        <v>1910828</v>
      </c>
      <c r="AH348" s="206"/>
      <c r="AI348" s="206">
        <f t="shared" si="207"/>
        <v>674291459.1496737</v>
      </c>
      <c r="AJ348" s="54"/>
      <c r="AK348" s="631"/>
    </row>
    <row r="349" spans="2:37">
      <c r="B349" s="219"/>
      <c r="E349" s="276"/>
      <c r="F349" s="276"/>
      <c r="G349" s="325"/>
      <c r="H349" s="276"/>
      <c r="I349" s="276"/>
      <c r="J349" s="200">
        <v>14</v>
      </c>
      <c r="K349" s="219">
        <f>ROUND(K348/$AI348,4)</f>
        <v>0.31540000000000001</v>
      </c>
      <c r="L349" s="219"/>
      <c r="M349" s="219">
        <f>ROUND(M348/$AI348,4)</f>
        <v>0.13009999999999999</v>
      </c>
      <c r="N349" s="219"/>
      <c r="O349" s="219">
        <f>ROUND(O348/$AI348,4)</f>
        <v>5.5800000000000002E-2</v>
      </c>
      <c r="P349" s="219"/>
      <c r="Q349" s="219">
        <f>ROUND(Q348/$AI348,4)</f>
        <v>4.1500000000000002E-2</v>
      </c>
      <c r="R349" s="219"/>
      <c r="S349" s="219">
        <f>ROUND(S348/$AI348,4)</f>
        <v>8.6900000000000005E-2</v>
      </c>
      <c r="T349" s="219"/>
      <c r="U349" s="219">
        <f>ROUND(U348/$AI348,4)</f>
        <v>5.1999999999999998E-3</v>
      </c>
      <c r="V349" s="219"/>
      <c r="W349" s="219">
        <f>ROUND(W348/$AI348,4)-0.0001</f>
        <v>0.28889999999999999</v>
      </c>
      <c r="X349" s="219"/>
      <c r="Y349" s="219">
        <f>ROUND(Y348/$AI348,4)</f>
        <v>5.0999999999999997E-2</v>
      </c>
      <c r="Z349" s="219"/>
      <c r="AA349" s="219">
        <f>ROUND(AA348/$AI348,4)</f>
        <v>9.7000000000000003E-3</v>
      </c>
      <c r="AB349" s="219"/>
      <c r="AC349" s="219">
        <f>ROUND(AC348/$AI348,4)</f>
        <v>1.01E-2</v>
      </c>
      <c r="AD349" s="219"/>
      <c r="AE349" s="219">
        <f>ROUND(AE348/$AI348,4)</f>
        <v>2.5999999999999999E-3</v>
      </c>
      <c r="AF349" s="219"/>
      <c r="AG349" s="219">
        <f>ROUND(AG348/$AI348,4)</f>
        <v>2.8E-3</v>
      </c>
      <c r="AI349" s="219">
        <f t="shared" si="207"/>
        <v>1</v>
      </c>
      <c r="AJ349" s="54" t="str">
        <f t="shared" si="202"/>
        <v>0k</v>
      </c>
      <c r="AK349" s="631">
        <v>14</v>
      </c>
    </row>
    <row r="350" spans="2:37">
      <c r="B350" s="219"/>
      <c r="E350" s="276"/>
      <c r="F350" s="276"/>
      <c r="G350" s="325"/>
      <c r="H350" s="276"/>
      <c r="I350" s="361" t="s">
        <v>272</v>
      </c>
      <c r="K350" s="198">
        <f>+K314</f>
        <v>175325648</v>
      </c>
      <c r="L350" s="198">
        <f t="shared" ref="L350:AG350" si="211">+L314</f>
        <v>0</v>
      </c>
      <c r="M350" s="198">
        <f t="shared" si="211"/>
        <v>72354183</v>
      </c>
      <c r="N350" s="198">
        <f t="shared" si="211"/>
        <v>0</v>
      </c>
      <c r="O350" s="198">
        <f t="shared" si="211"/>
        <v>31029906</v>
      </c>
      <c r="P350" s="198">
        <f t="shared" si="211"/>
        <v>0</v>
      </c>
      <c r="Q350" s="198">
        <f t="shared" si="211"/>
        <v>23039730</v>
      </c>
      <c r="R350" s="198">
        <f t="shared" si="211"/>
        <v>0</v>
      </c>
      <c r="S350" s="198">
        <f t="shared" si="211"/>
        <v>48321549.149673641</v>
      </c>
      <c r="T350" s="198">
        <f t="shared" si="211"/>
        <v>0</v>
      </c>
      <c r="U350" s="198">
        <f t="shared" si="211"/>
        <v>2890560</v>
      </c>
      <c r="V350" s="198">
        <f t="shared" si="211"/>
        <v>0</v>
      </c>
      <c r="W350" s="198">
        <f t="shared" si="211"/>
        <v>160664368</v>
      </c>
      <c r="X350" s="198">
        <f t="shared" si="211"/>
        <v>0</v>
      </c>
      <c r="Y350" s="198">
        <f t="shared" si="211"/>
        <v>28328835</v>
      </c>
      <c r="Z350" s="198">
        <f t="shared" si="211"/>
        <v>0</v>
      </c>
      <c r="AA350" s="198">
        <f t="shared" si="211"/>
        <v>5396678</v>
      </c>
      <c r="AB350" s="198">
        <f t="shared" si="211"/>
        <v>0</v>
      </c>
      <c r="AC350" s="198">
        <f t="shared" si="211"/>
        <v>5628164</v>
      </c>
      <c r="AD350" s="198">
        <f t="shared" si="211"/>
        <v>0</v>
      </c>
      <c r="AE350" s="198">
        <f t="shared" si="211"/>
        <v>1415649</v>
      </c>
      <c r="AF350" s="198">
        <f t="shared" si="211"/>
        <v>0</v>
      </c>
      <c r="AG350" s="198">
        <f t="shared" si="211"/>
        <v>1579541</v>
      </c>
      <c r="AI350" s="206">
        <f t="shared" si="207"/>
        <v>555974811.1496737</v>
      </c>
      <c r="AJ350" s="54"/>
      <c r="AK350" s="631"/>
    </row>
    <row r="351" spans="2:37">
      <c r="B351" s="219"/>
      <c r="E351" s="276"/>
      <c r="F351" s="276"/>
      <c r="G351" s="325"/>
      <c r="H351" s="276"/>
      <c r="I351" s="276"/>
      <c r="J351" s="200">
        <v>15</v>
      </c>
      <c r="K351" s="219">
        <f>ROUND(K350/$AI350,4)</f>
        <v>0.31530000000000002</v>
      </c>
      <c r="L351" s="219"/>
      <c r="M351" s="219">
        <f>ROUND(M350/$AI350,4)</f>
        <v>0.13009999999999999</v>
      </c>
      <c r="N351" s="219"/>
      <c r="O351" s="219">
        <f>ROUND(O350/$AI350,4)</f>
        <v>5.5800000000000002E-2</v>
      </c>
      <c r="P351" s="219"/>
      <c r="Q351" s="219">
        <f>ROUND(Q350/$AI350,4)</f>
        <v>4.1399999999999999E-2</v>
      </c>
      <c r="R351" s="219"/>
      <c r="S351" s="219">
        <f>ROUND(S350/$AI350,4)</f>
        <v>8.6900000000000005E-2</v>
      </c>
      <c r="T351" s="219"/>
      <c r="U351" s="219">
        <f>ROUND(U350/$AI350,4)</f>
        <v>5.1999999999999998E-3</v>
      </c>
      <c r="V351" s="219"/>
      <c r="W351" s="219">
        <f>ROUND(W350/$AI350,4)+0.0002</f>
        <v>0.28919999999999996</v>
      </c>
      <c r="X351" s="219"/>
      <c r="Y351" s="219">
        <f>ROUND(Y350/$AI350,4)</f>
        <v>5.0999999999999997E-2</v>
      </c>
      <c r="Z351" s="219"/>
      <c r="AA351" s="219">
        <f>ROUND(AA350/$AI350,4)</f>
        <v>9.7000000000000003E-3</v>
      </c>
      <c r="AB351" s="219"/>
      <c r="AC351" s="219">
        <f>ROUND(AC350/$AI350,4)</f>
        <v>1.01E-2</v>
      </c>
      <c r="AD351" s="219"/>
      <c r="AE351" s="219">
        <f>ROUND(AE350/$AI350,4)</f>
        <v>2.5000000000000001E-3</v>
      </c>
      <c r="AF351" s="219"/>
      <c r="AG351" s="219">
        <f>ROUND(AG350/$AI350,4)</f>
        <v>2.8E-3</v>
      </c>
      <c r="AI351" s="219">
        <f t="shared" si="207"/>
        <v>1</v>
      </c>
      <c r="AJ351" s="54" t="str">
        <f t="shared" si="202"/>
        <v>0k</v>
      </c>
      <c r="AK351" s="631">
        <v>15</v>
      </c>
    </row>
    <row r="352" spans="2:37">
      <c r="B352" s="219"/>
      <c r="E352" s="361"/>
      <c r="F352" s="276"/>
      <c r="G352" s="325"/>
      <c r="H352" s="276"/>
      <c r="I352" s="361" t="s">
        <v>273</v>
      </c>
      <c r="K352" s="206">
        <f>+K93+K104+K113+K123+SUM(K128:K133)+K135+K137+K143+K201+SUM(K205:K205)+SUM(K209)+K215+K217+K136+K207+K56+K43+K50</f>
        <v>43541257</v>
      </c>
      <c r="L352" s="206">
        <f t="shared" ref="L352:AG352" si="212">+L93+L104+L113+L123+SUM(L128:L133)+L135+L137+L143+L201+SUM(L205:L205)+SUM(L209)+L215+L217+L136+L207+L56+L43+L50</f>
        <v>0</v>
      </c>
      <c r="M352" s="206">
        <f t="shared" si="212"/>
        <v>17288398</v>
      </c>
      <c r="N352" s="206">
        <f t="shared" si="212"/>
        <v>0</v>
      </c>
      <c r="O352" s="206">
        <f t="shared" si="212"/>
        <v>7339695</v>
      </c>
      <c r="P352" s="206">
        <f t="shared" si="212"/>
        <v>0</v>
      </c>
      <c r="Q352" s="206">
        <f t="shared" si="212"/>
        <v>5445883</v>
      </c>
      <c r="R352" s="206">
        <f t="shared" si="212"/>
        <v>0</v>
      </c>
      <c r="S352" s="206">
        <f t="shared" si="212"/>
        <v>13555205.388671299</v>
      </c>
      <c r="T352" s="206">
        <f t="shared" si="212"/>
        <v>0</v>
      </c>
      <c r="U352" s="206">
        <f t="shared" si="212"/>
        <v>685229</v>
      </c>
      <c r="V352" s="206">
        <f t="shared" si="212"/>
        <v>0</v>
      </c>
      <c r="W352" s="206">
        <f t="shared" si="212"/>
        <v>62244196</v>
      </c>
      <c r="X352" s="206">
        <f t="shared" si="212"/>
        <v>0</v>
      </c>
      <c r="Y352" s="206">
        <f t="shared" si="212"/>
        <v>9865327</v>
      </c>
      <c r="Z352" s="206">
        <f t="shared" si="212"/>
        <v>0</v>
      </c>
      <c r="AA352" s="206">
        <f t="shared" si="212"/>
        <v>2336100</v>
      </c>
      <c r="AB352" s="206">
        <f t="shared" si="212"/>
        <v>0</v>
      </c>
      <c r="AC352" s="206">
        <f t="shared" si="212"/>
        <v>2003174</v>
      </c>
      <c r="AD352" s="206">
        <f t="shared" si="212"/>
        <v>0</v>
      </c>
      <c r="AE352" s="206">
        <f t="shared" si="212"/>
        <v>475539</v>
      </c>
      <c r="AF352" s="206">
        <f t="shared" si="212"/>
        <v>0</v>
      </c>
      <c r="AG352" s="206">
        <f t="shared" si="212"/>
        <v>555944</v>
      </c>
      <c r="AH352" s="206"/>
      <c r="AI352" s="206">
        <f t="shared" si="207"/>
        <v>165335947.38867128</v>
      </c>
      <c r="AJ352" s="54"/>
      <c r="AK352" s="631"/>
    </row>
    <row r="353" spans="2:37">
      <c r="B353" s="219"/>
      <c r="E353" s="361"/>
      <c r="F353" s="276"/>
      <c r="G353" s="325"/>
      <c r="H353" s="276"/>
      <c r="I353" s="276"/>
      <c r="J353" s="200">
        <v>16</v>
      </c>
      <c r="K353" s="219">
        <f>ROUND(K352/$AI352,4)</f>
        <v>0.26340000000000002</v>
      </c>
      <c r="L353" s="219"/>
      <c r="M353" s="219">
        <f>ROUND(M352/$AI352,4)</f>
        <v>0.1046</v>
      </c>
      <c r="N353" s="219"/>
      <c r="O353" s="219">
        <f>ROUND(O352/$AI352,4)</f>
        <v>4.4400000000000002E-2</v>
      </c>
      <c r="P353" s="219"/>
      <c r="Q353" s="219">
        <f>ROUND(Q352/$AI352,4)</f>
        <v>3.2899999999999999E-2</v>
      </c>
      <c r="R353" s="219"/>
      <c r="S353" s="219">
        <f>ROUND(S352/$AI352,4)</f>
        <v>8.2000000000000003E-2</v>
      </c>
      <c r="T353" s="219"/>
      <c r="U353" s="219">
        <f>ROUND(U352/$AI352,4)</f>
        <v>4.1000000000000003E-3</v>
      </c>
      <c r="V353" s="219"/>
      <c r="W353" s="219">
        <f>ROUND(W352/$AI352,4)-0.0001</f>
        <v>0.37640000000000001</v>
      </c>
      <c r="X353" s="219"/>
      <c r="Y353" s="219">
        <f>ROUND(Y352/$AI352,4)</f>
        <v>5.9700000000000003E-2</v>
      </c>
      <c r="Z353" s="219"/>
      <c r="AA353" s="219">
        <f>ROUND(AA352/$AI352,4)</f>
        <v>1.41E-2</v>
      </c>
      <c r="AB353" s="219"/>
      <c r="AC353" s="219">
        <f>ROUND(AC352/$AI352,4)</f>
        <v>1.21E-2</v>
      </c>
      <c r="AD353" s="219"/>
      <c r="AE353" s="219">
        <f>ROUND(AE352/$AI352,4)</f>
        <v>2.8999999999999998E-3</v>
      </c>
      <c r="AF353" s="219"/>
      <c r="AG353" s="219">
        <f>ROUND(AG352/$AI352,4)</f>
        <v>3.3999999999999998E-3</v>
      </c>
      <c r="AI353" s="219">
        <f t="shared" si="207"/>
        <v>0.99999999999999989</v>
      </c>
      <c r="AJ353" s="54" t="str">
        <f t="shared" si="202"/>
        <v>0k</v>
      </c>
      <c r="AK353" s="631">
        <v>16</v>
      </c>
    </row>
    <row r="354" spans="2:37">
      <c r="B354" s="219"/>
      <c r="E354" s="276"/>
      <c r="F354" s="276"/>
      <c r="G354" s="325"/>
      <c r="H354" s="276"/>
      <c r="I354" s="361" t="s">
        <v>275</v>
      </c>
      <c r="K354" s="206">
        <f t="shared" ref="K354:U354" si="213">+K241+K242</f>
        <v>131979510</v>
      </c>
      <c r="L354" s="206">
        <f t="shared" si="213"/>
        <v>0</v>
      </c>
      <c r="M354" s="206">
        <f t="shared" si="213"/>
        <v>54908653</v>
      </c>
      <c r="N354" s="206">
        <f t="shared" si="213"/>
        <v>0</v>
      </c>
      <c r="O354" s="206">
        <f t="shared" si="213"/>
        <v>24080310</v>
      </c>
      <c r="P354" s="206">
        <f t="shared" si="213"/>
        <v>0</v>
      </c>
      <c r="Q354" s="206">
        <f t="shared" si="213"/>
        <v>17886910</v>
      </c>
      <c r="R354" s="206">
        <f t="shared" si="213"/>
        <v>0</v>
      </c>
      <c r="S354" s="206">
        <f t="shared" si="213"/>
        <v>50838568.149673641</v>
      </c>
      <c r="T354" s="206">
        <f t="shared" si="213"/>
        <v>0</v>
      </c>
      <c r="U354" s="206">
        <f t="shared" si="213"/>
        <v>2241641</v>
      </c>
      <c r="W354" s="206"/>
      <c r="Y354" s="206"/>
      <c r="AA354" s="206"/>
      <c r="AC354" s="206"/>
      <c r="AE354" s="206"/>
      <c r="AF354" s="206"/>
      <c r="AG354" s="206"/>
      <c r="AI354" s="206">
        <f>SUM(K354:AE354)</f>
        <v>281935592.14967364</v>
      </c>
      <c r="AJ354" s="54"/>
      <c r="AK354" s="631"/>
    </row>
    <row r="355" spans="2:37">
      <c r="B355" s="219"/>
      <c r="E355" s="276"/>
      <c r="F355" s="276"/>
      <c r="G355" s="325"/>
      <c r="H355" s="276"/>
      <c r="I355" s="276"/>
      <c r="J355" s="200">
        <v>17</v>
      </c>
      <c r="K355" s="219">
        <f>ROUND(K354/$AI354,4)</f>
        <v>0.46810000000000002</v>
      </c>
      <c r="L355" s="219"/>
      <c r="M355" s="219">
        <f>ROUND(M354/$AI354,4)</f>
        <v>0.1948</v>
      </c>
      <c r="N355" s="219"/>
      <c r="O355" s="219">
        <f>ROUND(O354/$AI354,4)</f>
        <v>8.5400000000000004E-2</v>
      </c>
      <c r="P355" s="219"/>
      <c r="Q355" s="219">
        <f>ROUND(Q354/$AI354,4)</f>
        <v>6.3399999999999998E-2</v>
      </c>
      <c r="R355" s="219"/>
      <c r="S355" s="219">
        <f>ROUND(S354/$AI354,4)</f>
        <v>0.18029999999999999</v>
      </c>
      <c r="T355" s="219"/>
      <c r="U355" s="219">
        <f>ROUND(U354/$AI354,4)</f>
        <v>8.0000000000000002E-3</v>
      </c>
      <c r="V355" s="219"/>
      <c r="W355" s="219"/>
      <c r="X355" s="219"/>
      <c r="Y355" s="219"/>
      <c r="Z355" s="219"/>
      <c r="AA355" s="219"/>
      <c r="AB355" s="219"/>
      <c r="AC355" s="219"/>
      <c r="AD355" s="219"/>
      <c r="AE355" s="219"/>
      <c r="AF355" s="219"/>
      <c r="AG355" s="219"/>
      <c r="AI355" s="219">
        <f>SUM(K355:AG355)</f>
        <v>1</v>
      </c>
      <c r="AJ355" s="54" t="str">
        <f t="shared" si="202"/>
        <v>0k</v>
      </c>
      <c r="AK355" s="631">
        <v>17</v>
      </c>
    </row>
    <row r="356" spans="2:37">
      <c r="B356" s="219"/>
      <c r="E356" s="276"/>
      <c r="F356" s="276"/>
      <c r="G356" s="325"/>
      <c r="H356" s="276"/>
      <c r="I356" s="669" t="s">
        <v>474</v>
      </c>
      <c r="K356" s="216">
        <f>+K240+K241+K242</f>
        <v>181185506</v>
      </c>
      <c r="L356" s="216"/>
      <c r="M356" s="216">
        <f>+M240+M241+M242</f>
        <v>75380277</v>
      </c>
      <c r="N356" s="216"/>
      <c r="O356" s="216">
        <f>+O240+O241+O242</f>
        <v>33058186</v>
      </c>
      <c r="P356" s="216"/>
      <c r="Q356" s="216">
        <f>+Q240+Q241+Q242</f>
        <v>24555697</v>
      </c>
      <c r="R356" s="216"/>
      <c r="S356" s="216">
        <f>+S240+S241+S242</f>
        <v>50838568.149673641</v>
      </c>
      <c r="T356" s="216"/>
      <c r="U356" s="216">
        <f>+U240+U241+U242</f>
        <v>3077393</v>
      </c>
      <c r="V356" s="219"/>
      <c r="W356" s="219"/>
      <c r="X356" s="219"/>
      <c r="Y356" s="219"/>
      <c r="Z356" s="219"/>
      <c r="AA356" s="219"/>
      <c r="AB356" s="219"/>
      <c r="AC356" s="219"/>
      <c r="AD356" s="219"/>
      <c r="AE356" s="219"/>
      <c r="AF356" s="219"/>
      <c r="AG356" s="219"/>
      <c r="AI356" s="206">
        <f>SUM(K356:AE356)</f>
        <v>368095627.14967364</v>
      </c>
      <c r="AJ356" s="54"/>
      <c r="AK356" s="631"/>
    </row>
    <row r="357" spans="2:37">
      <c r="E357" s="276"/>
      <c r="F357" s="276"/>
      <c r="G357" s="325"/>
      <c r="H357" s="276"/>
      <c r="I357" s="276"/>
      <c r="J357" s="363">
        <v>18</v>
      </c>
      <c r="K357" s="219">
        <f>ROUND(K356/$AI356,4)</f>
        <v>0.49220000000000003</v>
      </c>
      <c r="L357" s="219"/>
      <c r="M357" s="219">
        <f>ROUND(M356/$AI356,4)</f>
        <v>0.20480000000000001</v>
      </c>
      <c r="N357" s="219"/>
      <c r="O357" s="219">
        <f>ROUND(O356/$AI356,4)</f>
        <v>8.9800000000000005E-2</v>
      </c>
      <c r="P357" s="219"/>
      <c r="Q357" s="219">
        <f>ROUND(Q356/$AI356,4)</f>
        <v>6.6699999999999995E-2</v>
      </c>
      <c r="R357" s="219"/>
      <c r="S357" s="219">
        <f>ROUND(S356/$AI356,4)</f>
        <v>0.1381</v>
      </c>
      <c r="T357" s="219"/>
      <c r="U357" s="219">
        <f>ROUND(U356/$AI356,4)</f>
        <v>8.3999999999999995E-3</v>
      </c>
      <c r="V357" s="363"/>
      <c r="W357" s="363"/>
      <c r="X357" s="363"/>
      <c r="Y357" s="363"/>
      <c r="Z357" s="363"/>
      <c r="AA357" s="363"/>
      <c r="AB357" s="363"/>
      <c r="AC357" s="363"/>
      <c r="AD357" s="363"/>
      <c r="AE357" s="363">
        <v>0</v>
      </c>
      <c r="AF357" s="363"/>
      <c r="AG357" s="363"/>
      <c r="AH357" s="363"/>
      <c r="AI357" s="219">
        <f>SUM(K357:AG357)</f>
        <v>1</v>
      </c>
      <c r="AJ357" s="363" t="str">
        <f t="shared" si="202"/>
        <v>0k</v>
      </c>
      <c r="AK357" s="633">
        <v>18</v>
      </c>
    </row>
    <row r="358" spans="2:37">
      <c r="E358" s="276"/>
      <c r="F358" s="276"/>
      <c r="G358" s="325"/>
      <c r="H358" s="276"/>
      <c r="I358" s="669" t="s">
        <v>569</v>
      </c>
      <c r="J358" s="363">
        <v>19</v>
      </c>
      <c r="K358" s="363">
        <f>+'Ft 15to21'!E132</f>
        <v>0</v>
      </c>
      <c r="L358" s="363"/>
      <c r="M358" s="363"/>
      <c r="N358" s="363"/>
      <c r="O358" s="363"/>
      <c r="P358" s="363"/>
      <c r="Q358" s="363"/>
      <c r="R358" s="363"/>
      <c r="S358" s="363"/>
      <c r="T358" s="363"/>
      <c r="U358" s="363">
        <v>0</v>
      </c>
      <c r="V358" s="363"/>
      <c r="W358" s="364">
        <f>+'Ft 15to21'!E110</f>
        <v>0.96</v>
      </c>
      <c r="X358" s="363"/>
      <c r="Y358" s="363">
        <f>+'Ft 15to21'!E111</f>
        <v>3.8600000000000002E-2</v>
      </c>
      <c r="Z358" s="363"/>
      <c r="AA358" s="363">
        <f>+'Ft 15to21'!E112</f>
        <v>1.4E-3</v>
      </c>
      <c r="AB358" s="363"/>
      <c r="AC358" s="363">
        <f>+'Ft 15to21'!E113</f>
        <v>0</v>
      </c>
      <c r="AD358" s="363"/>
      <c r="AE358" s="363">
        <f>+'Ft 15to21'!E114</f>
        <v>0</v>
      </c>
      <c r="AF358" s="363"/>
      <c r="AG358" s="363">
        <f>+'Ft 15to21'!E115</f>
        <v>0</v>
      </c>
      <c r="AH358" s="363"/>
      <c r="AI358" s="364">
        <f>SUM(K358:AG358)</f>
        <v>0.99999999999999989</v>
      </c>
      <c r="AJ358" s="363" t="str">
        <f t="shared" si="202"/>
        <v>0k</v>
      </c>
      <c r="AK358" s="633">
        <v>19</v>
      </c>
    </row>
    <row r="359" spans="2:37">
      <c r="E359" s="276"/>
      <c r="F359" s="276"/>
      <c r="G359" s="325"/>
      <c r="H359" s="276"/>
      <c r="I359" s="669" t="s">
        <v>570</v>
      </c>
      <c r="J359" s="363">
        <v>20</v>
      </c>
      <c r="K359" s="363"/>
      <c r="L359" s="363"/>
      <c r="M359" s="363"/>
      <c r="N359" s="363"/>
      <c r="O359" s="363"/>
      <c r="P359" s="363"/>
      <c r="Q359" s="363"/>
      <c r="R359" s="363"/>
      <c r="S359" s="363"/>
      <c r="T359" s="363"/>
      <c r="U359" s="363">
        <v>0</v>
      </c>
      <c r="V359" s="363"/>
      <c r="W359" s="363">
        <f>+'Ft 15to21'!E128</f>
        <v>0.69810000000000005</v>
      </c>
      <c r="X359" s="363"/>
      <c r="Y359" s="363">
        <f>+'Ft 15to21'!E129</f>
        <v>0.23319999999999999</v>
      </c>
      <c r="Z359" s="363"/>
      <c r="AA359" s="363">
        <f>+'Ft 15to21'!E130</f>
        <v>6.8699999999999997E-2</v>
      </c>
      <c r="AB359" s="363"/>
      <c r="AC359" s="363">
        <f>+'Ft 15to21'!E131</f>
        <v>0</v>
      </c>
      <c r="AD359" s="363"/>
      <c r="AE359" s="363">
        <f>+'Ft 15to21'!E132</f>
        <v>0</v>
      </c>
      <c r="AF359" s="363"/>
      <c r="AG359" s="363">
        <f>+'Ft 15to21'!E133</f>
        <v>0</v>
      </c>
      <c r="AH359" s="363"/>
      <c r="AI359" s="364">
        <f>SUM(K359:AG359)</f>
        <v>1</v>
      </c>
      <c r="AJ359" s="363" t="str">
        <f t="shared" si="202"/>
        <v>0k</v>
      </c>
      <c r="AK359" s="633">
        <v>20</v>
      </c>
    </row>
    <row r="360" spans="2:37">
      <c r="E360" s="276"/>
      <c r="F360" s="276"/>
      <c r="G360" s="325"/>
      <c r="H360" s="276"/>
      <c r="I360" s="669" t="s">
        <v>366</v>
      </c>
      <c r="J360" s="363">
        <v>21</v>
      </c>
      <c r="K360" s="363">
        <f>+'Ft 15to21'!C170</f>
        <v>0</v>
      </c>
      <c r="L360" s="363"/>
      <c r="M360" s="363">
        <f>+'Ft 15to21'!C171</f>
        <v>0</v>
      </c>
      <c r="N360" s="363"/>
      <c r="O360" s="363">
        <f>+'Ft 15to21'!C172</f>
        <v>0</v>
      </c>
      <c r="P360" s="363"/>
      <c r="Q360" s="363">
        <f>+'Ft 15to21'!C173</f>
        <v>0</v>
      </c>
      <c r="R360" s="363"/>
      <c r="S360" s="363">
        <f>+'Ft 15to21'!C174</f>
        <v>0</v>
      </c>
      <c r="T360" s="363"/>
      <c r="U360" s="363">
        <v>0</v>
      </c>
      <c r="V360" s="363"/>
      <c r="W360" s="363"/>
      <c r="X360" s="363"/>
      <c r="Y360" s="363"/>
      <c r="Z360" s="363"/>
      <c r="AA360" s="363"/>
      <c r="AB360" s="363"/>
      <c r="AC360" s="363"/>
      <c r="AD360" s="363"/>
      <c r="AE360" s="363"/>
      <c r="AF360" s="363"/>
      <c r="AG360" s="363">
        <f>+'Ft 15to21'!C175</f>
        <v>0</v>
      </c>
      <c r="AH360" s="363"/>
      <c r="AI360" s="364">
        <f>SUM(K360:AG360)</f>
        <v>0</v>
      </c>
      <c r="AJ360" s="363" t="str">
        <f t="shared" si="202"/>
        <v>&lt;&lt;&lt;??</v>
      </c>
      <c r="AK360" s="633">
        <v>21</v>
      </c>
    </row>
    <row r="361" spans="2:37">
      <c r="E361" s="276"/>
      <c r="F361" s="276"/>
      <c r="G361" s="325"/>
      <c r="H361" s="276"/>
      <c r="I361" s="276"/>
      <c r="AI361" s="219"/>
      <c r="AJ361" s="54"/>
      <c r="AK361" s="631"/>
    </row>
    <row r="362" spans="2:37" ht="15.75">
      <c r="C362" s="34" t="s">
        <v>156</v>
      </c>
      <c r="E362" s="276"/>
      <c r="F362" s="276"/>
      <c r="G362" s="325"/>
      <c r="H362" s="276"/>
      <c r="I362" s="276"/>
      <c r="AK362" s="631"/>
    </row>
    <row r="363" spans="2:37" ht="3.75" customHeight="1">
      <c r="E363" s="276"/>
      <c r="F363" s="276"/>
      <c r="G363" s="325"/>
      <c r="H363" s="276"/>
      <c r="I363" s="276"/>
      <c r="AK363" s="631"/>
    </row>
    <row r="364" spans="2:37" ht="18" customHeight="1">
      <c r="C364" s="125" t="s">
        <v>386</v>
      </c>
      <c r="E364" s="109" t="s">
        <v>368</v>
      </c>
      <c r="F364" s="276"/>
      <c r="G364" s="325">
        <f>+G27</f>
        <v>1</v>
      </c>
      <c r="H364" s="276"/>
      <c r="I364" s="670"/>
      <c r="K364" s="207">
        <f t="shared" ref="K364:K370" si="214">ROUND(VLOOKUP($G364,factors,+K$318)*$I364,0)</f>
        <v>0</v>
      </c>
      <c r="M364" s="207">
        <f t="shared" ref="M364:M370" si="215">ROUND(VLOOKUP($G364,factors,+M$318)*$I364,0)</f>
        <v>0</v>
      </c>
      <c r="N364" s="207"/>
      <c r="O364" s="207">
        <f t="shared" ref="O364:O370" si="216">ROUND(VLOOKUP($G364,factors,+O$318)*$I364,0)</f>
        <v>0</v>
      </c>
      <c r="P364" s="207"/>
      <c r="Q364" s="207">
        <f t="shared" ref="Q364:Q370" si="217">ROUND(VLOOKUP($G364,factors,+Q$318)*$I364,0)</f>
        <v>0</v>
      </c>
      <c r="R364" s="207"/>
      <c r="S364" s="207">
        <f t="shared" ref="S364:U370" si="218">ROUND(VLOOKUP($G364,factors,+S$318)*$I364,0)</f>
        <v>0</v>
      </c>
      <c r="T364" s="207"/>
      <c r="U364" s="207">
        <f t="shared" si="218"/>
        <v>0</v>
      </c>
      <c r="V364" s="207"/>
      <c r="W364" s="207">
        <f t="shared" ref="W364:W370" si="219">ROUND(VLOOKUP($G364,factors,+W$318)*$I364,0)</f>
        <v>0</v>
      </c>
      <c r="X364" s="207"/>
      <c r="Y364" s="207">
        <f t="shared" ref="Y364:Y370" si="220">ROUND(VLOOKUP($G364,factors,+Y$318)*$I364,0)</f>
        <v>0</v>
      </c>
      <c r="Z364" s="207"/>
      <c r="AA364" s="207">
        <f t="shared" ref="AA364:AA370" si="221">ROUND(VLOOKUP($G364,factors,+AA$318)*$I364,0)</f>
        <v>0</v>
      </c>
      <c r="AB364" s="207"/>
      <c r="AC364" s="207">
        <f t="shared" ref="AC364:AC370" si="222">ROUND(VLOOKUP($G364,factors,+AC$318)*$I364,0)</f>
        <v>0</v>
      </c>
      <c r="AD364" s="207"/>
      <c r="AE364" s="207">
        <f t="shared" ref="AE364:AG370" si="223">ROUND(VLOOKUP($G364,factors,+AE$318)*$I364,0)</f>
        <v>0</v>
      </c>
      <c r="AF364" s="207"/>
      <c r="AG364" s="207">
        <f t="shared" si="223"/>
        <v>0</v>
      </c>
      <c r="AI364" s="208">
        <f t="shared" ref="AI364:AI411" si="224">SUM(K364:AG364)-I364</f>
        <v>0</v>
      </c>
      <c r="AK364" s="631"/>
    </row>
    <row r="365" spans="2:37">
      <c r="C365" s="210" t="s">
        <v>371</v>
      </c>
      <c r="E365" s="324" t="s">
        <v>44</v>
      </c>
      <c r="F365" s="276"/>
      <c r="G365" s="325">
        <f>+G30</f>
        <v>1</v>
      </c>
      <c r="H365" s="276"/>
      <c r="I365" s="361">
        <f>+Linkin!I11</f>
        <v>0</v>
      </c>
      <c r="K365" s="207">
        <f t="shared" si="214"/>
        <v>0</v>
      </c>
      <c r="M365" s="207">
        <f t="shared" si="215"/>
        <v>0</v>
      </c>
      <c r="N365" s="207"/>
      <c r="O365" s="207">
        <f t="shared" si="216"/>
        <v>0</v>
      </c>
      <c r="P365" s="207"/>
      <c r="Q365" s="207">
        <f t="shared" si="217"/>
        <v>0</v>
      </c>
      <c r="R365" s="207"/>
      <c r="S365" s="207">
        <f t="shared" si="218"/>
        <v>0</v>
      </c>
      <c r="T365" s="207"/>
      <c r="U365" s="207">
        <f t="shared" si="218"/>
        <v>0</v>
      </c>
      <c r="V365" s="207"/>
      <c r="W365" s="207">
        <f t="shared" si="219"/>
        <v>0</v>
      </c>
      <c r="X365" s="207"/>
      <c r="Y365" s="207">
        <f t="shared" si="220"/>
        <v>0</v>
      </c>
      <c r="Z365" s="207"/>
      <c r="AA365" s="207">
        <f t="shared" si="221"/>
        <v>0</v>
      </c>
      <c r="AB365" s="207"/>
      <c r="AC365" s="207">
        <f t="shared" si="222"/>
        <v>0</v>
      </c>
      <c r="AD365" s="207"/>
      <c r="AE365" s="207">
        <f t="shared" si="223"/>
        <v>0</v>
      </c>
      <c r="AF365" s="207"/>
      <c r="AG365" s="207">
        <f t="shared" si="223"/>
        <v>0</v>
      </c>
      <c r="AI365" s="208">
        <f t="shared" si="224"/>
        <v>0</v>
      </c>
      <c r="AK365" s="631"/>
    </row>
    <row r="366" spans="2:37">
      <c r="C366" s="210">
        <v>840</v>
      </c>
      <c r="E366" s="324" t="s">
        <v>685</v>
      </c>
      <c r="F366" s="276"/>
      <c r="G366" s="325" t="str">
        <f>+G46</f>
        <v>1A</v>
      </c>
      <c r="H366" s="276"/>
      <c r="I366" s="361">
        <f>+Linkin!I40</f>
        <v>33000</v>
      </c>
      <c r="K366" s="207">
        <f t="shared" si="214"/>
        <v>23427</v>
      </c>
      <c r="M366" s="207">
        <f t="shared" si="215"/>
        <v>9573</v>
      </c>
      <c r="N366" s="207"/>
      <c r="O366" s="207">
        <f t="shared" si="216"/>
        <v>0</v>
      </c>
      <c r="P366" s="207"/>
      <c r="Q366" s="207">
        <f t="shared" si="217"/>
        <v>0</v>
      </c>
      <c r="R366" s="207"/>
      <c r="S366" s="207">
        <f t="shared" si="218"/>
        <v>0</v>
      </c>
      <c r="T366" s="207"/>
      <c r="U366" s="207">
        <f t="shared" si="218"/>
        <v>0</v>
      </c>
      <c r="V366" s="207"/>
      <c r="W366" s="207">
        <f t="shared" si="219"/>
        <v>0</v>
      </c>
      <c r="X366" s="207"/>
      <c r="Y366" s="207">
        <f t="shared" si="220"/>
        <v>0</v>
      </c>
      <c r="Z366" s="207"/>
      <c r="AA366" s="207">
        <f t="shared" si="221"/>
        <v>0</v>
      </c>
      <c r="AB366" s="207"/>
      <c r="AC366" s="207">
        <f t="shared" si="222"/>
        <v>0</v>
      </c>
      <c r="AD366" s="207"/>
      <c r="AE366" s="207">
        <f t="shared" si="223"/>
        <v>0</v>
      </c>
      <c r="AF366" s="207"/>
      <c r="AG366" s="207">
        <f t="shared" si="223"/>
        <v>0</v>
      </c>
      <c r="AI366" s="208">
        <f t="shared" ref="AI366:AI367" si="225">SUM(K366:AG366)-I366</f>
        <v>0</v>
      </c>
      <c r="AK366" s="631"/>
    </row>
    <row r="367" spans="2:37">
      <c r="C367" s="171" t="s">
        <v>383</v>
      </c>
      <c r="E367" s="124" t="s">
        <v>376</v>
      </c>
      <c r="F367" s="276"/>
      <c r="G367" s="325">
        <f>+G53</f>
        <v>4</v>
      </c>
      <c r="H367" s="276"/>
      <c r="I367" s="361">
        <f>+Linkin!I45</f>
        <v>4000</v>
      </c>
      <c r="K367" s="207">
        <f t="shared" si="214"/>
        <v>2284</v>
      </c>
      <c r="M367" s="207">
        <f t="shared" si="215"/>
        <v>950</v>
      </c>
      <c r="N367" s="207"/>
      <c r="O367" s="207">
        <f t="shared" si="216"/>
        <v>417</v>
      </c>
      <c r="P367" s="207"/>
      <c r="Q367" s="207">
        <f t="shared" si="217"/>
        <v>310</v>
      </c>
      <c r="R367" s="207"/>
      <c r="S367" s="207">
        <f t="shared" si="218"/>
        <v>0</v>
      </c>
      <c r="T367" s="207"/>
      <c r="U367" s="207">
        <f t="shared" si="218"/>
        <v>39</v>
      </c>
      <c r="V367" s="207"/>
      <c r="W367" s="207">
        <f t="shared" si="219"/>
        <v>0</v>
      </c>
      <c r="X367" s="207"/>
      <c r="Y367" s="207">
        <f t="shared" si="220"/>
        <v>0</v>
      </c>
      <c r="Z367" s="207"/>
      <c r="AA367" s="207">
        <f t="shared" si="221"/>
        <v>0</v>
      </c>
      <c r="AB367" s="207"/>
      <c r="AC367" s="207">
        <f t="shared" si="222"/>
        <v>0</v>
      </c>
      <c r="AD367" s="207"/>
      <c r="AE367" s="207">
        <f t="shared" si="223"/>
        <v>0</v>
      </c>
      <c r="AF367" s="207"/>
      <c r="AG367" s="207">
        <f t="shared" si="223"/>
        <v>0</v>
      </c>
      <c r="AI367" s="208">
        <f t="shared" si="225"/>
        <v>0</v>
      </c>
      <c r="AK367" s="631"/>
    </row>
    <row r="368" spans="2:37">
      <c r="C368" s="171" t="s">
        <v>384</v>
      </c>
      <c r="E368" s="124" t="s">
        <v>377</v>
      </c>
      <c r="F368" s="276"/>
      <c r="G368" s="325">
        <f>+G54</f>
        <v>4</v>
      </c>
      <c r="H368" s="276"/>
      <c r="I368" s="361">
        <f>+Linkin!I46</f>
        <v>80000</v>
      </c>
      <c r="K368" s="207">
        <f t="shared" si="214"/>
        <v>45688</v>
      </c>
      <c r="M368" s="207">
        <f t="shared" si="215"/>
        <v>19008</v>
      </c>
      <c r="N368" s="207"/>
      <c r="O368" s="207">
        <f t="shared" si="216"/>
        <v>8336</v>
      </c>
      <c r="P368" s="207"/>
      <c r="Q368" s="207">
        <f t="shared" si="217"/>
        <v>6192</v>
      </c>
      <c r="R368" s="207"/>
      <c r="S368" s="207">
        <f t="shared" si="218"/>
        <v>0</v>
      </c>
      <c r="T368" s="207"/>
      <c r="U368" s="207">
        <f t="shared" si="218"/>
        <v>776</v>
      </c>
      <c r="V368" s="207"/>
      <c r="W368" s="207">
        <f t="shared" si="219"/>
        <v>0</v>
      </c>
      <c r="X368" s="207"/>
      <c r="Y368" s="207">
        <f t="shared" si="220"/>
        <v>0</v>
      </c>
      <c r="Z368" s="207"/>
      <c r="AA368" s="207">
        <f t="shared" si="221"/>
        <v>0</v>
      </c>
      <c r="AB368" s="207"/>
      <c r="AC368" s="207">
        <f t="shared" si="222"/>
        <v>0</v>
      </c>
      <c r="AD368" s="207"/>
      <c r="AE368" s="207">
        <f t="shared" si="223"/>
        <v>0</v>
      </c>
      <c r="AF368" s="207"/>
      <c r="AG368" s="207">
        <f t="shared" si="223"/>
        <v>0</v>
      </c>
      <c r="AI368" s="208">
        <f t="shared" si="224"/>
        <v>0</v>
      </c>
      <c r="AK368" s="631"/>
    </row>
    <row r="369" spans="1:37">
      <c r="C369" s="168">
        <v>870</v>
      </c>
      <c r="E369" s="124" t="s">
        <v>57</v>
      </c>
      <c r="F369" s="276"/>
      <c r="G369" s="325">
        <f>+G61</f>
        <v>10</v>
      </c>
      <c r="H369" s="276"/>
      <c r="I369" s="361">
        <f>+Linkin!I50</f>
        <v>1907000</v>
      </c>
      <c r="K369" s="207">
        <f t="shared" si="214"/>
        <v>384833</v>
      </c>
      <c r="M369" s="207">
        <f t="shared" si="215"/>
        <v>159997</v>
      </c>
      <c r="N369" s="207"/>
      <c r="O369" s="207">
        <f t="shared" si="216"/>
        <v>70178</v>
      </c>
      <c r="P369" s="207"/>
      <c r="Q369" s="207">
        <f t="shared" si="217"/>
        <v>52061</v>
      </c>
      <c r="R369" s="207"/>
      <c r="S369" s="207">
        <f t="shared" si="218"/>
        <v>234561</v>
      </c>
      <c r="T369" s="207"/>
      <c r="U369" s="207">
        <f t="shared" si="218"/>
        <v>6484</v>
      </c>
      <c r="V369" s="207"/>
      <c r="W369" s="207">
        <f t="shared" si="219"/>
        <v>696055</v>
      </c>
      <c r="X369" s="207"/>
      <c r="Y369" s="207">
        <f t="shared" si="220"/>
        <v>192035</v>
      </c>
      <c r="Z369" s="207"/>
      <c r="AA369" s="207">
        <f t="shared" si="221"/>
        <v>62359</v>
      </c>
      <c r="AB369" s="207"/>
      <c r="AC369" s="207">
        <f t="shared" si="222"/>
        <v>34707</v>
      </c>
      <c r="AD369" s="207"/>
      <c r="AE369" s="207">
        <f>ROUND(VLOOKUP($G369,factors,+AE$318)*$I369,0)</f>
        <v>4768</v>
      </c>
      <c r="AF369" s="207"/>
      <c r="AG369" s="207">
        <f t="shared" si="223"/>
        <v>8963</v>
      </c>
      <c r="AI369" s="208">
        <f t="shared" si="224"/>
        <v>1</v>
      </c>
      <c r="AK369" s="631"/>
    </row>
    <row r="370" spans="1:37">
      <c r="C370" s="210">
        <v>871</v>
      </c>
      <c r="E370" s="276" t="s">
        <v>110</v>
      </c>
      <c r="F370" s="276"/>
      <c r="G370" s="325" t="str">
        <f>+G62</f>
        <v>4a</v>
      </c>
      <c r="H370" s="276"/>
      <c r="I370" s="361">
        <f>+Linkin!I51</f>
        <v>98000</v>
      </c>
      <c r="K370" s="207">
        <f t="shared" si="214"/>
        <v>23030</v>
      </c>
      <c r="M370" s="207">
        <f t="shared" si="215"/>
        <v>9575</v>
      </c>
      <c r="N370" s="207"/>
      <c r="O370" s="207">
        <f t="shared" si="216"/>
        <v>4194</v>
      </c>
      <c r="P370" s="207"/>
      <c r="Q370" s="207">
        <f t="shared" si="217"/>
        <v>3116</v>
      </c>
      <c r="R370" s="207"/>
      <c r="S370" s="207">
        <f t="shared" si="218"/>
        <v>57693</v>
      </c>
      <c r="T370" s="207"/>
      <c r="U370" s="207">
        <f t="shared" si="218"/>
        <v>392</v>
      </c>
      <c r="V370" s="207"/>
      <c r="W370" s="207">
        <f t="shared" si="219"/>
        <v>0</v>
      </c>
      <c r="X370" s="207"/>
      <c r="Y370" s="207">
        <f t="shared" si="220"/>
        <v>0</v>
      </c>
      <c r="Z370" s="207"/>
      <c r="AA370" s="207">
        <f t="shared" si="221"/>
        <v>0</v>
      </c>
      <c r="AB370" s="207"/>
      <c r="AC370" s="207">
        <f t="shared" si="222"/>
        <v>0</v>
      </c>
      <c r="AD370" s="207"/>
      <c r="AE370" s="207">
        <f t="shared" si="223"/>
        <v>0</v>
      </c>
      <c r="AF370" s="207"/>
      <c r="AG370" s="207">
        <f t="shared" si="223"/>
        <v>0</v>
      </c>
      <c r="AI370" s="208">
        <f t="shared" si="224"/>
        <v>0</v>
      </c>
      <c r="AK370" s="631"/>
    </row>
    <row r="371" spans="1:37">
      <c r="C371" s="325">
        <v>874</v>
      </c>
      <c r="D371" s="276"/>
      <c r="E371" s="324" t="s">
        <v>111</v>
      </c>
      <c r="F371" s="324"/>
      <c r="G371" s="478"/>
      <c r="H371" s="276"/>
      <c r="I371" s="361"/>
      <c r="K371" s="207"/>
      <c r="M371" s="207"/>
      <c r="N371" s="207"/>
      <c r="O371" s="207"/>
      <c r="P371" s="207"/>
      <c r="Q371" s="207"/>
      <c r="R371" s="207"/>
      <c r="S371" s="207"/>
      <c r="T371" s="207"/>
      <c r="U371" s="207"/>
      <c r="V371" s="207"/>
      <c r="W371" s="207"/>
      <c r="X371" s="207"/>
      <c r="Y371" s="207"/>
      <c r="Z371" s="207"/>
      <c r="AA371" s="207"/>
      <c r="AB371" s="207"/>
      <c r="AC371" s="207"/>
      <c r="AD371" s="207"/>
      <c r="AE371" s="207"/>
      <c r="AF371" s="207"/>
      <c r="AG371" s="207"/>
      <c r="AI371" s="208">
        <f t="shared" si="224"/>
        <v>0</v>
      </c>
      <c r="AK371" s="631"/>
    </row>
    <row r="372" spans="1:37">
      <c r="A372" s="534">
        <f>+Linkin!I54</f>
        <v>2111000</v>
      </c>
      <c r="B372" s="206"/>
      <c r="C372" s="325" t="s">
        <v>218</v>
      </c>
      <c r="D372" s="276"/>
      <c r="E372" s="324" t="s">
        <v>400</v>
      </c>
      <c r="F372" s="324"/>
      <c r="G372" s="478">
        <f t="shared" ref="G372:G381" si="226">+G66</f>
        <v>5</v>
      </c>
      <c r="H372" s="276"/>
      <c r="I372" s="326">
        <f>ROUND((A$372-I$374)*B66,0)</f>
        <v>306429</v>
      </c>
      <c r="J372" s="95"/>
      <c r="K372" s="207">
        <f t="shared" ref="K372:K385" si="227">ROUND(VLOOKUP($G372,factors,+K$318)*$I372,0)</f>
        <v>175002</v>
      </c>
      <c r="M372" s="207">
        <f t="shared" ref="M372:M385" si="228">ROUND(VLOOKUP($G372,factors,+M$318)*$I372,0)</f>
        <v>72808</v>
      </c>
      <c r="N372" s="207"/>
      <c r="O372" s="207">
        <f t="shared" ref="O372:O385" si="229">ROUND(VLOOKUP($G372,factors,+O$318)*$I372,0)</f>
        <v>31930</v>
      </c>
      <c r="P372" s="207"/>
      <c r="Q372" s="207">
        <f t="shared" ref="Q372:Q385" si="230">ROUND(VLOOKUP($G372,factors,+Q$318)*$I372,0)</f>
        <v>23718</v>
      </c>
      <c r="R372" s="207"/>
      <c r="S372" s="207">
        <f t="shared" ref="S372:U385" si="231">ROUND(VLOOKUP($G372,factors,+S$318)*$I372,0)</f>
        <v>0</v>
      </c>
      <c r="T372" s="207"/>
      <c r="U372" s="207">
        <f t="shared" si="231"/>
        <v>2972</v>
      </c>
      <c r="V372" s="207"/>
      <c r="W372" s="207">
        <f t="shared" ref="W372:W385" si="232">ROUND(VLOOKUP($G372,factors,+W$318)*$I372,0)</f>
        <v>0</v>
      </c>
      <c r="X372" s="207"/>
      <c r="Y372" s="207">
        <f t="shared" ref="Y372:Y385" si="233">ROUND(VLOOKUP($G372,factors,+Y$318)*$I372,0)</f>
        <v>0</v>
      </c>
      <c r="Z372" s="207"/>
      <c r="AA372" s="207">
        <f t="shared" ref="AA372:AA385" si="234">ROUND(VLOOKUP($G372,factors,+AA$318)*$I372,0)</f>
        <v>0</v>
      </c>
      <c r="AB372" s="207"/>
      <c r="AC372" s="207">
        <f t="shared" ref="AC372:AC385" si="235">ROUND(VLOOKUP($G372,factors,+AC$318)*$I372,0)</f>
        <v>0</v>
      </c>
      <c r="AD372" s="207"/>
      <c r="AE372" s="207">
        <f t="shared" ref="AE372:AG385" si="236">ROUND(VLOOKUP($G372,factors,+AE$318)*$I372,0)</f>
        <v>0</v>
      </c>
      <c r="AF372" s="207"/>
      <c r="AG372" s="207">
        <f t="shared" si="236"/>
        <v>0</v>
      </c>
      <c r="AI372" s="208">
        <f t="shared" si="224"/>
        <v>1</v>
      </c>
      <c r="AK372" s="631"/>
    </row>
    <row r="373" spans="1:37">
      <c r="A373" s="198"/>
      <c r="B373" s="206"/>
      <c r="C373" s="325"/>
      <c r="D373" s="276"/>
      <c r="E373" s="324" t="s">
        <v>401</v>
      </c>
      <c r="F373" s="324"/>
      <c r="G373" s="478">
        <f t="shared" si="226"/>
        <v>17</v>
      </c>
      <c r="H373" s="276"/>
      <c r="I373" s="326">
        <f>ROUND((A$372-I$374)*B67,0)</f>
        <v>762478</v>
      </c>
      <c r="J373" s="95"/>
      <c r="K373" s="207">
        <f t="shared" si="227"/>
        <v>356916</v>
      </c>
      <c r="M373" s="207">
        <f t="shared" si="228"/>
        <v>148531</v>
      </c>
      <c r="N373" s="207"/>
      <c r="O373" s="207">
        <f t="shared" si="229"/>
        <v>65116</v>
      </c>
      <c r="P373" s="207"/>
      <c r="Q373" s="207">
        <f t="shared" si="230"/>
        <v>48341</v>
      </c>
      <c r="R373" s="207"/>
      <c r="S373" s="207">
        <f t="shared" si="231"/>
        <v>137475</v>
      </c>
      <c r="T373" s="207"/>
      <c r="U373" s="207">
        <f t="shared" si="231"/>
        <v>6100</v>
      </c>
      <c r="V373" s="207"/>
      <c r="W373" s="207">
        <f t="shared" si="232"/>
        <v>0</v>
      </c>
      <c r="X373" s="207"/>
      <c r="Y373" s="207">
        <f t="shared" si="233"/>
        <v>0</v>
      </c>
      <c r="Z373" s="207"/>
      <c r="AA373" s="207">
        <f t="shared" si="234"/>
        <v>0</v>
      </c>
      <c r="AB373" s="207"/>
      <c r="AC373" s="207">
        <f t="shared" si="235"/>
        <v>0</v>
      </c>
      <c r="AD373" s="207"/>
      <c r="AE373" s="207">
        <f t="shared" si="236"/>
        <v>0</v>
      </c>
      <c r="AF373" s="207"/>
      <c r="AG373" s="207">
        <f t="shared" si="236"/>
        <v>0</v>
      </c>
      <c r="AI373" s="208">
        <f t="shared" si="224"/>
        <v>1</v>
      </c>
      <c r="AK373" s="631"/>
    </row>
    <row r="374" spans="1:37" s="95" customFormat="1">
      <c r="B374" s="198">
        <f>SUM(I372:I374)</f>
        <v>2111000</v>
      </c>
      <c r="C374" s="478" t="s">
        <v>218</v>
      </c>
      <c r="D374" s="324"/>
      <c r="E374" s="324" t="s">
        <v>306</v>
      </c>
      <c r="F374" s="324"/>
      <c r="G374" s="478" t="str">
        <f t="shared" si="226"/>
        <v>6C</v>
      </c>
      <c r="H374" s="324"/>
      <c r="I374" s="326">
        <f>ROUND(A$372*B68,0)</f>
        <v>1042093</v>
      </c>
      <c r="K374" s="229">
        <f t="shared" si="227"/>
        <v>0</v>
      </c>
      <c r="M374" s="229">
        <f t="shared" si="228"/>
        <v>0</v>
      </c>
      <c r="N374" s="229"/>
      <c r="O374" s="229">
        <f t="shared" si="229"/>
        <v>0</v>
      </c>
      <c r="P374" s="229"/>
      <c r="Q374" s="229">
        <f t="shared" si="230"/>
        <v>0</v>
      </c>
      <c r="R374" s="229"/>
      <c r="S374" s="229">
        <f t="shared" si="231"/>
        <v>0</v>
      </c>
      <c r="T374" s="229"/>
      <c r="U374" s="229">
        <f t="shared" si="231"/>
        <v>0</v>
      </c>
      <c r="V374" s="229"/>
      <c r="W374" s="229">
        <f t="shared" si="232"/>
        <v>901098</v>
      </c>
      <c r="X374" s="229"/>
      <c r="Y374" s="229">
        <f t="shared" si="233"/>
        <v>128594</v>
      </c>
      <c r="Z374" s="229"/>
      <c r="AA374" s="229">
        <f t="shared" si="234"/>
        <v>7399</v>
      </c>
      <c r="AB374" s="229"/>
      <c r="AC374" s="229">
        <f t="shared" si="235"/>
        <v>3439</v>
      </c>
      <c r="AD374" s="229"/>
      <c r="AE374" s="229">
        <f t="shared" si="236"/>
        <v>729</v>
      </c>
      <c r="AF374" s="229"/>
      <c r="AG374" s="229">
        <f t="shared" si="236"/>
        <v>834</v>
      </c>
      <c r="AI374" s="208">
        <f t="shared" si="224"/>
        <v>0</v>
      </c>
      <c r="AK374" s="632"/>
    </row>
    <row r="375" spans="1:37">
      <c r="C375" s="210">
        <v>875</v>
      </c>
      <c r="E375" s="276" t="s">
        <v>112</v>
      </c>
      <c r="F375" s="276"/>
      <c r="G375" s="325" t="str">
        <f t="shared" si="226"/>
        <v>4a</v>
      </c>
      <c r="H375" s="276"/>
      <c r="I375" s="361">
        <f>+Linkin!I55</f>
        <v>272000</v>
      </c>
      <c r="K375" s="207">
        <f t="shared" si="227"/>
        <v>63920</v>
      </c>
      <c r="M375" s="207">
        <f t="shared" si="228"/>
        <v>26574</v>
      </c>
      <c r="N375" s="207"/>
      <c r="O375" s="207">
        <f t="shared" si="229"/>
        <v>11642</v>
      </c>
      <c r="P375" s="207"/>
      <c r="Q375" s="207">
        <f t="shared" si="230"/>
        <v>8650</v>
      </c>
      <c r="R375" s="207"/>
      <c r="S375" s="207">
        <f t="shared" si="231"/>
        <v>160126</v>
      </c>
      <c r="T375" s="207"/>
      <c r="U375" s="207">
        <f t="shared" si="231"/>
        <v>1088</v>
      </c>
      <c r="V375" s="207"/>
      <c r="W375" s="207">
        <f t="shared" si="232"/>
        <v>0</v>
      </c>
      <c r="X375" s="207"/>
      <c r="Y375" s="207">
        <f t="shared" si="233"/>
        <v>0</v>
      </c>
      <c r="Z375" s="207"/>
      <c r="AA375" s="207">
        <f t="shared" si="234"/>
        <v>0</v>
      </c>
      <c r="AB375" s="207"/>
      <c r="AC375" s="207">
        <f t="shared" si="235"/>
        <v>0</v>
      </c>
      <c r="AD375" s="207"/>
      <c r="AE375" s="207">
        <f t="shared" si="236"/>
        <v>0</v>
      </c>
      <c r="AF375" s="207"/>
      <c r="AG375" s="207">
        <f t="shared" si="236"/>
        <v>0</v>
      </c>
      <c r="AI375" s="208">
        <f t="shared" si="224"/>
        <v>0</v>
      </c>
      <c r="AK375" s="631"/>
    </row>
    <row r="376" spans="1:37">
      <c r="C376" s="210">
        <v>876</v>
      </c>
      <c r="E376" s="109" t="s">
        <v>61</v>
      </c>
      <c r="F376" s="276"/>
      <c r="G376" s="325" t="str">
        <f t="shared" si="226"/>
        <v>6B</v>
      </c>
      <c r="H376" s="276"/>
      <c r="I376" s="361">
        <f>+Linkin!I56</f>
        <v>59000</v>
      </c>
      <c r="K376" s="207">
        <f t="shared" si="227"/>
        <v>0</v>
      </c>
      <c r="M376" s="207">
        <f t="shared" si="228"/>
        <v>0</v>
      </c>
      <c r="N376" s="207"/>
      <c r="O376" s="207">
        <f t="shared" si="229"/>
        <v>0</v>
      </c>
      <c r="P376" s="207"/>
      <c r="Q376" s="207">
        <f t="shared" si="230"/>
        <v>0</v>
      </c>
      <c r="R376" s="207"/>
      <c r="S376" s="207">
        <f t="shared" si="231"/>
        <v>0</v>
      </c>
      <c r="T376" s="207"/>
      <c r="U376" s="207">
        <f t="shared" si="231"/>
        <v>0</v>
      </c>
      <c r="V376" s="207"/>
      <c r="W376" s="207">
        <f t="shared" si="232"/>
        <v>0</v>
      </c>
      <c r="X376" s="207"/>
      <c r="Y376" s="207">
        <f t="shared" si="233"/>
        <v>0</v>
      </c>
      <c r="Z376" s="207"/>
      <c r="AA376" s="207">
        <f t="shared" si="234"/>
        <v>0</v>
      </c>
      <c r="AB376" s="207"/>
      <c r="AC376" s="207">
        <f t="shared" si="235"/>
        <v>35424</v>
      </c>
      <c r="AD376" s="207"/>
      <c r="AE376" s="207">
        <f t="shared" si="236"/>
        <v>12779</v>
      </c>
      <c r="AF376" s="207"/>
      <c r="AG376" s="207">
        <f t="shared" si="236"/>
        <v>10797</v>
      </c>
      <c r="AI376" s="208">
        <f t="shared" si="224"/>
        <v>0</v>
      </c>
      <c r="AK376" s="631"/>
    </row>
    <row r="377" spans="1:37">
      <c r="C377" s="210">
        <v>877</v>
      </c>
      <c r="E377" s="109" t="s">
        <v>62</v>
      </c>
      <c r="F377" s="276"/>
      <c r="G377" s="325" t="str">
        <f t="shared" si="226"/>
        <v>4a</v>
      </c>
      <c r="H377" s="276"/>
      <c r="I377" s="361">
        <f>+Linkin!I57</f>
        <v>9000</v>
      </c>
      <c r="K377" s="207">
        <f t="shared" si="227"/>
        <v>2115</v>
      </c>
      <c r="M377" s="207">
        <f t="shared" si="228"/>
        <v>879</v>
      </c>
      <c r="N377" s="207"/>
      <c r="O377" s="207">
        <f t="shared" si="229"/>
        <v>385</v>
      </c>
      <c r="P377" s="207"/>
      <c r="Q377" s="207">
        <f t="shared" si="230"/>
        <v>286</v>
      </c>
      <c r="R377" s="207"/>
      <c r="S377" s="207">
        <f t="shared" si="231"/>
        <v>5298</v>
      </c>
      <c r="T377" s="207"/>
      <c r="U377" s="207">
        <f t="shared" si="231"/>
        <v>36</v>
      </c>
      <c r="V377" s="207"/>
      <c r="W377" s="207">
        <f t="shared" si="232"/>
        <v>0</v>
      </c>
      <c r="X377" s="207"/>
      <c r="Y377" s="207">
        <f t="shared" si="233"/>
        <v>0</v>
      </c>
      <c r="Z377" s="207"/>
      <c r="AA377" s="207">
        <f t="shared" si="234"/>
        <v>0</v>
      </c>
      <c r="AB377" s="207"/>
      <c r="AC377" s="207">
        <f t="shared" si="235"/>
        <v>0</v>
      </c>
      <c r="AD377" s="207"/>
      <c r="AE377" s="207">
        <f t="shared" si="236"/>
        <v>0</v>
      </c>
      <c r="AF377" s="207"/>
      <c r="AG377" s="207">
        <f t="shared" si="236"/>
        <v>0</v>
      </c>
      <c r="AI377" s="208">
        <f t="shared" si="224"/>
        <v>-1</v>
      </c>
      <c r="AK377" s="631"/>
    </row>
    <row r="378" spans="1:37">
      <c r="C378" s="210">
        <v>878</v>
      </c>
      <c r="E378" s="276" t="s">
        <v>114</v>
      </c>
      <c r="F378" s="276"/>
      <c r="G378" s="325">
        <f t="shared" si="226"/>
        <v>6</v>
      </c>
      <c r="H378" s="276"/>
      <c r="I378" s="361">
        <f>+Linkin!I58</f>
        <v>941000</v>
      </c>
      <c r="K378" s="207">
        <f t="shared" si="227"/>
        <v>0</v>
      </c>
      <c r="M378" s="207">
        <f t="shared" si="228"/>
        <v>0</v>
      </c>
      <c r="N378" s="207"/>
      <c r="O378" s="207">
        <f t="shared" si="229"/>
        <v>0</v>
      </c>
      <c r="P378" s="207"/>
      <c r="Q378" s="207">
        <f t="shared" si="230"/>
        <v>0</v>
      </c>
      <c r="R378" s="207"/>
      <c r="S378" s="207">
        <f t="shared" si="231"/>
        <v>0</v>
      </c>
      <c r="T378" s="207"/>
      <c r="U378" s="207">
        <f t="shared" si="231"/>
        <v>0</v>
      </c>
      <c r="V378" s="207"/>
      <c r="W378" s="207">
        <f t="shared" si="232"/>
        <v>395785</v>
      </c>
      <c r="X378" s="207"/>
      <c r="Y378" s="207">
        <f t="shared" si="233"/>
        <v>307801</v>
      </c>
      <c r="Z378" s="207"/>
      <c r="AA378" s="207">
        <f t="shared" si="234"/>
        <v>156771</v>
      </c>
      <c r="AB378" s="207"/>
      <c r="AC378" s="207">
        <f t="shared" si="235"/>
        <v>62953</v>
      </c>
      <c r="AD378" s="207"/>
      <c r="AE378" s="207">
        <f t="shared" si="236"/>
        <v>2635</v>
      </c>
      <c r="AF378" s="207"/>
      <c r="AG378" s="207">
        <f t="shared" si="236"/>
        <v>15056</v>
      </c>
      <c r="AI378" s="208">
        <f t="shared" si="224"/>
        <v>1</v>
      </c>
      <c r="AK378" s="631"/>
    </row>
    <row r="379" spans="1:37">
      <c r="C379" s="210">
        <v>879</v>
      </c>
      <c r="E379" s="276" t="s">
        <v>115</v>
      </c>
      <c r="F379" s="276"/>
      <c r="G379" s="325">
        <f t="shared" si="226"/>
        <v>6</v>
      </c>
      <c r="H379" s="276"/>
      <c r="I379" s="361">
        <f>+Linkin!I59</f>
        <v>447000</v>
      </c>
      <c r="K379" s="207">
        <f t="shared" si="227"/>
        <v>0</v>
      </c>
      <c r="M379" s="207">
        <f t="shared" si="228"/>
        <v>0</v>
      </c>
      <c r="N379" s="207"/>
      <c r="O379" s="207">
        <f t="shared" si="229"/>
        <v>0</v>
      </c>
      <c r="P379" s="207"/>
      <c r="Q379" s="207">
        <f t="shared" si="230"/>
        <v>0</v>
      </c>
      <c r="R379" s="207"/>
      <c r="S379" s="207">
        <f t="shared" si="231"/>
        <v>0</v>
      </c>
      <c r="T379" s="207"/>
      <c r="U379" s="207">
        <f t="shared" si="231"/>
        <v>0</v>
      </c>
      <c r="V379" s="207"/>
      <c r="W379" s="207">
        <f t="shared" si="232"/>
        <v>188008</v>
      </c>
      <c r="X379" s="207"/>
      <c r="Y379" s="207">
        <f t="shared" si="233"/>
        <v>146214</v>
      </c>
      <c r="Z379" s="207"/>
      <c r="AA379" s="207">
        <f t="shared" si="234"/>
        <v>74470</v>
      </c>
      <c r="AB379" s="207"/>
      <c r="AC379" s="207">
        <f t="shared" si="235"/>
        <v>29904</v>
      </c>
      <c r="AD379" s="207"/>
      <c r="AE379" s="207">
        <f t="shared" si="236"/>
        <v>1252</v>
      </c>
      <c r="AF379" s="207"/>
      <c r="AG379" s="207">
        <f t="shared" si="236"/>
        <v>7152</v>
      </c>
      <c r="AI379" s="208">
        <f t="shared" si="224"/>
        <v>0</v>
      </c>
      <c r="AK379" s="631"/>
    </row>
    <row r="380" spans="1:37">
      <c r="C380" s="210">
        <v>880</v>
      </c>
      <c r="E380" s="276" t="s">
        <v>116</v>
      </c>
      <c r="F380" s="276"/>
      <c r="G380" s="325">
        <f t="shared" si="226"/>
        <v>10</v>
      </c>
      <c r="H380" s="276"/>
      <c r="I380" s="361">
        <f>+Linkin!I60</f>
        <v>465000</v>
      </c>
      <c r="K380" s="207">
        <f t="shared" si="227"/>
        <v>93837</v>
      </c>
      <c r="M380" s="207">
        <f t="shared" si="228"/>
        <v>39014</v>
      </c>
      <c r="N380" s="207"/>
      <c r="O380" s="207">
        <f t="shared" si="229"/>
        <v>17112</v>
      </c>
      <c r="P380" s="207"/>
      <c r="Q380" s="207">
        <f t="shared" si="230"/>
        <v>12695</v>
      </c>
      <c r="R380" s="207"/>
      <c r="S380" s="207">
        <f t="shared" si="231"/>
        <v>57195</v>
      </c>
      <c r="T380" s="207"/>
      <c r="U380" s="207">
        <f t="shared" si="231"/>
        <v>1581</v>
      </c>
      <c r="V380" s="207"/>
      <c r="W380" s="207">
        <f t="shared" si="232"/>
        <v>169725</v>
      </c>
      <c r="X380" s="207"/>
      <c r="Y380" s="207">
        <f t="shared" si="233"/>
        <v>46826</v>
      </c>
      <c r="Z380" s="207"/>
      <c r="AA380" s="207">
        <f t="shared" si="234"/>
        <v>15206</v>
      </c>
      <c r="AB380" s="207"/>
      <c r="AC380" s="207">
        <f t="shared" si="235"/>
        <v>8463</v>
      </c>
      <c r="AD380" s="207"/>
      <c r="AE380" s="207">
        <f t="shared" si="236"/>
        <v>1163</v>
      </c>
      <c r="AF380" s="207"/>
      <c r="AG380" s="207">
        <f t="shared" si="236"/>
        <v>2186</v>
      </c>
      <c r="AI380" s="208">
        <f t="shared" si="224"/>
        <v>3</v>
      </c>
      <c r="AK380" s="631"/>
    </row>
    <row r="381" spans="1:37">
      <c r="C381" s="210">
        <v>881</v>
      </c>
      <c r="E381" s="276" t="s">
        <v>387</v>
      </c>
      <c r="F381" s="276"/>
      <c r="G381" s="325">
        <f t="shared" si="226"/>
        <v>10</v>
      </c>
      <c r="H381" s="276"/>
      <c r="I381" s="361">
        <f>+Linkin!I61</f>
        <v>0</v>
      </c>
      <c r="K381" s="207">
        <f t="shared" si="227"/>
        <v>0</v>
      </c>
      <c r="M381" s="207">
        <f t="shared" si="228"/>
        <v>0</v>
      </c>
      <c r="N381" s="207"/>
      <c r="O381" s="207">
        <f t="shared" si="229"/>
        <v>0</v>
      </c>
      <c r="P381" s="207"/>
      <c r="Q381" s="207">
        <f t="shared" si="230"/>
        <v>0</v>
      </c>
      <c r="R381" s="207"/>
      <c r="S381" s="207">
        <f t="shared" si="231"/>
        <v>0</v>
      </c>
      <c r="T381" s="207"/>
      <c r="U381" s="207">
        <f t="shared" si="231"/>
        <v>0</v>
      </c>
      <c r="V381" s="207"/>
      <c r="W381" s="207">
        <f t="shared" si="232"/>
        <v>0</v>
      </c>
      <c r="X381" s="207"/>
      <c r="Y381" s="207">
        <f t="shared" si="233"/>
        <v>0</v>
      </c>
      <c r="Z381" s="207"/>
      <c r="AA381" s="207">
        <f t="shared" si="234"/>
        <v>0</v>
      </c>
      <c r="AB381" s="207"/>
      <c r="AC381" s="207">
        <f t="shared" si="235"/>
        <v>0</v>
      </c>
      <c r="AD381" s="207"/>
      <c r="AE381" s="207">
        <f t="shared" si="236"/>
        <v>0</v>
      </c>
      <c r="AF381" s="207"/>
      <c r="AG381" s="207">
        <f t="shared" si="236"/>
        <v>0</v>
      </c>
      <c r="AI381" s="208">
        <f t="shared" si="224"/>
        <v>0</v>
      </c>
      <c r="AK381" s="631"/>
    </row>
    <row r="382" spans="1:37">
      <c r="C382" s="210">
        <v>885</v>
      </c>
      <c r="E382" s="276" t="s">
        <v>168</v>
      </c>
      <c r="F382" s="276"/>
      <c r="G382" s="325">
        <f>+G79</f>
        <v>11</v>
      </c>
      <c r="H382" s="276"/>
      <c r="I382" s="361">
        <f>+Linkin!I65</f>
        <v>452000</v>
      </c>
      <c r="K382" s="207">
        <f t="shared" si="227"/>
        <v>175783</v>
      </c>
      <c r="M382" s="207">
        <f t="shared" si="228"/>
        <v>73134</v>
      </c>
      <c r="N382" s="207"/>
      <c r="O382" s="207">
        <f t="shared" si="229"/>
        <v>32047</v>
      </c>
      <c r="P382" s="207"/>
      <c r="Q382" s="207">
        <f t="shared" si="230"/>
        <v>23820</v>
      </c>
      <c r="R382" s="207"/>
      <c r="S382" s="207">
        <f t="shared" si="231"/>
        <v>59935</v>
      </c>
      <c r="T382" s="207"/>
      <c r="U382" s="207">
        <f t="shared" si="231"/>
        <v>2983</v>
      </c>
      <c r="V382" s="207"/>
      <c r="W382" s="207">
        <f t="shared" si="232"/>
        <v>50262</v>
      </c>
      <c r="X382" s="207"/>
      <c r="Y382" s="207">
        <f t="shared" si="233"/>
        <v>13515</v>
      </c>
      <c r="Z382" s="207"/>
      <c r="AA382" s="207">
        <f t="shared" si="234"/>
        <v>4294</v>
      </c>
      <c r="AB382" s="207"/>
      <c r="AC382" s="207">
        <f t="shared" si="235"/>
        <v>10125</v>
      </c>
      <c r="AD382" s="207"/>
      <c r="AE382" s="207">
        <f t="shared" si="236"/>
        <v>3119</v>
      </c>
      <c r="AF382" s="207"/>
      <c r="AG382" s="207">
        <f t="shared" si="236"/>
        <v>2983</v>
      </c>
      <c r="AI382" s="208">
        <f t="shared" si="224"/>
        <v>0</v>
      </c>
      <c r="AK382" s="631"/>
    </row>
    <row r="383" spans="1:37">
      <c r="C383" s="210">
        <v>886</v>
      </c>
      <c r="E383" s="276" t="s">
        <v>117</v>
      </c>
      <c r="F383" s="276"/>
      <c r="G383" s="325">
        <f>+G80</f>
        <v>18</v>
      </c>
      <c r="H383" s="276"/>
      <c r="I383" s="361">
        <f>+Linkin!I66</f>
        <v>0</v>
      </c>
      <c r="K383" s="207">
        <f t="shared" si="227"/>
        <v>0</v>
      </c>
      <c r="M383" s="207">
        <f t="shared" si="228"/>
        <v>0</v>
      </c>
      <c r="N383" s="207"/>
      <c r="O383" s="207">
        <f t="shared" si="229"/>
        <v>0</v>
      </c>
      <c r="P383" s="207"/>
      <c r="Q383" s="207">
        <f t="shared" si="230"/>
        <v>0</v>
      </c>
      <c r="R383" s="207"/>
      <c r="S383" s="207">
        <f t="shared" si="231"/>
        <v>0</v>
      </c>
      <c r="T383" s="207"/>
      <c r="U383" s="207">
        <f t="shared" si="231"/>
        <v>0</v>
      </c>
      <c r="V383" s="207"/>
      <c r="W383" s="207">
        <f t="shared" si="232"/>
        <v>0</v>
      </c>
      <c r="X383" s="207"/>
      <c r="Y383" s="207">
        <f t="shared" si="233"/>
        <v>0</v>
      </c>
      <c r="Z383" s="207"/>
      <c r="AA383" s="207">
        <f t="shared" si="234"/>
        <v>0</v>
      </c>
      <c r="AB383" s="207"/>
      <c r="AC383" s="207">
        <f t="shared" si="235"/>
        <v>0</v>
      </c>
      <c r="AD383" s="207"/>
      <c r="AE383" s="207">
        <f t="shared" si="236"/>
        <v>0</v>
      </c>
      <c r="AF383" s="207"/>
      <c r="AG383" s="207">
        <f t="shared" si="236"/>
        <v>0</v>
      </c>
      <c r="AI383" s="208">
        <f t="shared" si="224"/>
        <v>0</v>
      </c>
      <c r="AK383" s="631"/>
    </row>
    <row r="384" spans="1:37">
      <c r="A384" s="534">
        <f>+Linkin!I67</f>
        <v>2921000</v>
      </c>
      <c r="B384" s="335"/>
      <c r="C384" s="325">
        <v>887</v>
      </c>
      <c r="D384" s="276"/>
      <c r="E384" s="324" t="s">
        <v>398</v>
      </c>
      <c r="F384" s="324"/>
      <c r="G384" s="325">
        <f>+G81</f>
        <v>5</v>
      </c>
      <c r="H384" s="276"/>
      <c r="I384" s="361">
        <f>ROUND(A384*B66,0)</f>
        <v>837378</v>
      </c>
      <c r="J384" s="276"/>
      <c r="K384" s="207">
        <f t="shared" si="227"/>
        <v>478227</v>
      </c>
      <c r="M384" s="207">
        <f t="shared" si="228"/>
        <v>198961</v>
      </c>
      <c r="N384" s="207"/>
      <c r="O384" s="207">
        <f t="shared" si="229"/>
        <v>87255</v>
      </c>
      <c r="P384" s="207"/>
      <c r="Q384" s="207">
        <f t="shared" si="230"/>
        <v>64813</v>
      </c>
      <c r="R384" s="207"/>
      <c r="S384" s="207">
        <f t="shared" si="231"/>
        <v>0</v>
      </c>
      <c r="T384" s="207"/>
      <c r="U384" s="207">
        <f t="shared" si="231"/>
        <v>8123</v>
      </c>
      <c r="V384" s="207"/>
      <c r="W384" s="207">
        <f t="shared" si="232"/>
        <v>0</v>
      </c>
      <c r="X384" s="207"/>
      <c r="Y384" s="207">
        <f t="shared" si="233"/>
        <v>0</v>
      </c>
      <c r="Z384" s="207"/>
      <c r="AA384" s="207">
        <f t="shared" si="234"/>
        <v>0</v>
      </c>
      <c r="AB384" s="207"/>
      <c r="AC384" s="207">
        <f t="shared" si="235"/>
        <v>0</v>
      </c>
      <c r="AD384" s="207"/>
      <c r="AE384" s="207">
        <f t="shared" si="236"/>
        <v>0</v>
      </c>
      <c r="AF384" s="207"/>
      <c r="AG384" s="207">
        <f t="shared" si="236"/>
        <v>0</v>
      </c>
      <c r="AI384" s="208">
        <f t="shared" si="224"/>
        <v>1</v>
      </c>
      <c r="AK384" s="631"/>
    </row>
    <row r="385" spans="1:37">
      <c r="B385" s="216">
        <f>+I384+I385</f>
        <v>2921000</v>
      </c>
      <c r="C385" s="325"/>
      <c r="D385" s="276"/>
      <c r="E385" s="324" t="s">
        <v>399</v>
      </c>
      <c r="F385" s="324"/>
      <c r="G385" s="325">
        <f>+G82</f>
        <v>17</v>
      </c>
      <c r="H385" s="276"/>
      <c r="I385" s="361">
        <f>ROUND(A384*B67,0)</f>
        <v>2083622</v>
      </c>
      <c r="J385" s="276"/>
      <c r="K385" s="207">
        <f t="shared" si="227"/>
        <v>975343</v>
      </c>
      <c r="M385" s="207">
        <f t="shared" si="228"/>
        <v>405890</v>
      </c>
      <c r="N385" s="207"/>
      <c r="O385" s="207">
        <f t="shared" si="229"/>
        <v>177941</v>
      </c>
      <c r="P385" s="207"/>
      <c r="Q385" s="207">
        <f t="shared" si="230"/>
        <v>132102</v>
      </c>
      <c r="R385" s="207"/>
      <c r="S385" s="207">
        <f t="shared" si="231"/>
        <v>375677</v>
      </c>
      <c r="T385" s="207"/>
      <c r="U385" s="207">
        <f t="shared" si="231"/>
        <v>16669</v>
      </c>
      <c r="V385" s="207"/>
      <c r="W385" s="207">
        <f t="shared" si="232"/>
        <v>0</v>
      </c>
      <c r="X385" s="207"/>
      <c r="Y385" s="207">
        <f t="shared" si="233"/>
        <v>0</v>
      </c>
      <c r="Z385" s="207"/>
      <c r="AA385" s="207">
        <f t="shared" si="234"/>
        <v>0</v>
      </c>
      <c r="AB385" s="207"/>
      <c r="AC385" s="207">
        <f t="shared" si="235"/>
        <v>0</v>
      </c>
      <c r="AD385" s="207"/>
      <c r="AE385" s="207">
        <f t="shared" si="236"/>
        <v>0</v>
      </c>
      <c r="AF385" s="207"/>
      <c r="AG385" s="207">
        <f t="shared" si="236"/>
        <v>0</v>
      </c>
      <c r="AI385" s="208">
        <f t="shared" si="224"/>
        <v>0</v>
      </c>
      <c r="AK385" s="631"/>
    </row>
    <row r="386" spans="1:37">
      <c r="C386" s="210">
        <v>889</v>
      </c>
      <c r="E386" s="276" t="s">
        <v>118</v>
      </c>
      <c r="F386" s="276"/>
      <c r="G386" s="325" t="str">
        <f t="shared" ref="G386:G391" si="237">+G84</f>
        <v>4a</v>
      </c>
      <c r="H386" s="276"/>
      <c r="I386" s="361">
        <f>+Linkin!I69</f>
        <v>147000</v>
      </c>
      <c r="K386" s="207">
        <f t="shared" ref="K386:K397" si="238">ROUND(VLOOKUP($G386,factors,+K$318)*$I386,0)</f>
        <v>34545</v>
      </c>
      <c r="M386" s="207">
        <f t="shared" ref="M386:M397" si="239">ROUND(VLOOKUP($G386,factors,+M$318)*$I386,0)</f>
        <v>14362</v>
      </c>
      <c r="N386" s="207"/>
      <c r="O386" s="207">
        <f t="shared" ref="O386:Q397" si="240">ROUND(VLOOKUP($G386,factors,+O$318)*$I386,0)</f>
        <v>6292</v>
      </c>
      <c r="P386" s="207"/>
      <c r="Q386" s="207">
        <f t="shared" si="240"/>
        <v>4675</v>
      </c>
      <c r="R386" s="207"/>
      <c r="S386" s="207">
        <f t="shared" ref="S386:U397" si="241">ROUND(VLOOKUP($G386,factors,+S$318)*$I386,0)</f>
        <v>86539</v>
      </c>
      <c r="T386" s="207"/>
      <c r="U386" s="207">
        <f t="shared" si="241"/>
        <v>588</v>
      </c>
      <c r="V386" s="207"/>
      <c r="W386" s="207">
        <f t="shared" ref="W386:W397" si="242">ROUND(VLOOKUP($G386,factors,+W$318)*$I386,0)</f>
        <v>0</v>
      </c>
      <c r="X386" s="207"/>
      <c r="Y386" s="207">
        <f t="shared" ref="Y386:Y397" si="243">ROUND(VLOOKUP($G386,factors,+Y$318)*$I386,0)</f>
        <v>0</v>
      </c>
      <c r="Z386" s="207"/>
      <c r="AA386" s="207">
        <f t="shared" ref="AA386:AC397" si="244">ROUND(VLOOKUP($G386,factors,+AA$318)*$I386,0)</f>
        <v>0</v>
      </c>
      <c r="AB386" s="207"/>
      <c r="AC386" s="207">
        <f t="shared" si="244"/>
        <v>0</v>
      </c>
      <c r="AD386" s="207"/>
      <c r="AE386" s="207">
        <f t="shared" ref="AE386:AG397" si="245">ROUND(VLOOKUP($G386,factors,+AE$318)*$I386,0)</f>
        <v>0</v>
      </c>
      <c r="AF386" s="207"/>
      <c r="AG386" s="207">
        <f t="shared" si="245"/>
        <v>0</v>
      </c>
      <c r="AI386" s="208">
        <f t="shared" si="224"/>
        <v>1</v>
      </c>
      <c r="AK386" s="631"/>
    </row>
    <row r="387" spans="1:37">
      <c r="C387" s="210">
        <v>890</v>
      </c>
      <c r="E387" s="276" t="s">
        <v>119</v>
      </c>
      <c r="F387" s="276"/>
      <c r="G387" s="325" t="str">
        <f t="shared" si="237"/>
        <v>6B</v>
      </c>
      <c r="H387" s="276"/>
      <c r="I387" s="361">
        <f>+Linkin!I70</f>
        <v>369000</v>
      </c>
      <c r="K387" s="207">
        <f t="shared" si="238"/>
        <v>0</v>
      </c>
      <c r="M387" s="207">
        <f t="shared" si="239"/>
        <v>0</v>
      </c>
      <c r="N387" s="207"/>
      <c r="O387" s="207">
        <f t="shared" si="240"/>
        <v>0</v>
      </c>
      <c r="P387" s="207"/>
      <c r="Q387" s="207">
        <f t="shared" si="240"/>
        <v>0</v>
      </c>
      <c r="R387" s="207"/>
      <c r="S387" s="207">
        <f t="shared" si="241"/>
        <v>0</v>
      </c>
      <c r="T387" s="207"/>
      <c r="U387" s="207">
        <f t="shared" si="241"/>
        <v>0</v>
      </c>
      <c r="V387" s="207"/>
      <c r="W387" s="207">
        <f t="shared" si="242"/>
        <v>0</v>
      </c>
      <c r="X387" s="207"/>
      <c r="Y387" s="207">
        <f t="shared" si="243"/>
        <v>0</v>
      </c>
      <c r="Z387" s="207"/>
      <c r="AA387" s="207">
        <f t="shared" si="244"/>
        <v>0</v>
      </c>
      <c r="AB387" s="207"/>
      <c r="AC387" s="207">
        <f t="shared" si="244"/>
        <v>221548</v>
      </c>
      <c r="AD387" s="207"/>
      <c r="AE387" s="207">
        <f t="shared" si="245"/>
        <v>79925</v>
      </c>
      <c r="AF387" s="207"/>
      <c r="AG387" s="207">
        <f t="shared" si="245"/>
        <v>67527</v>
      </c>
      <c r="AI387" s="208">
        <f t="shared" si="224"/>
        <v>0</v>
      </c>
      <c r="AK387" s="631"/>
    </row>
    <row r="388" spans="1:37">
      <c r="C388" s="210">
        <v>891</v>
      </c>
      <c r="E388" s="276" t="s">
        <v>120</v>
      </c>
      <c r="F388" s="276"/>
      <c r="G388" s="325" t="str">
        <f t="shared" si="237"/>
        <v>4a</v>
      </c>
      <c r="H388" s="276"/>
      <c r="I388" s="361">
        <f>+Linkin!I71</f>
        <v>142000</v>
      </c>
      <c r="K388" s="207">
        <f t="shared" si="238"/>
        <v>33370</v>
      </c>
      <c r="M388" s="207">
        <f t="shared" si="239"/>
        <v>13873</v>
      </c>
      <c r="N388" s="207"/>
      <c r="O388" s="207">
        <f t="shared" si="240"/>
        <v>6078</v>
      </c>
      <c r="P388" s="207"/>
      <c r="Q388" s="207">
        <f t="shared" si="240"/>
        <v>4516</v>
      </c>
      <c r="R388" s="207"/>
      <c r="S388" s="207">
        <f t="shared" si="241"/>
        <v>83595</v>
      </c>
      <c r="T388" s="207"/>
      <c r="U388" s="207">
        <f t="shared" si="241"/>
        <v>568</v>
      </c>
      <c r="V388" s="207"/>
      <c r="W388" s="207">
        <f t="shared" si="242"/>
        <v>0</v>
      </c>
      <c r="X388" s="207"/>
      <c r="Y388" s="207">
        <f t="shared" si="243"/>
        <v>0</v>
      </c>
      <c r="Z388" s="207"/>
      <c r="AA388" s="207">
        <f t="shared" si="244"/>
        <v>0</v>
      </c>
      <c r="AB388" s="207"/>
      <c r="AC388" s="207">
        <f t="shared" si="244"/>
        <v>0</v>
      </c>
      <c r="AD388" s="207"/>
      <c r="AE388" s="207">
        <f t="shared" si="245"/>
        <v>0</v>
      </c>
      <c r="AF388" s="207"/>
      <c r="AG388" s="207">
        <f t="shared" si="245"/>
        <v>0</v>
      </c>
      <c r="AI388" s="208">
        <f t="shared" si="224"/>
        <v>0</v>
      </c>
      <c r="AK388" s="631"/>
    </row>
    <row r="389" spans="1:37">
      <c r="C389" s="210">
        <v>892</v>
      </c>
      <c r="E389" s="276" t="s">
        <v>121</v>
      </c>
      <c r="F389" s="276"/>
      <c r="G389" s="325" t="str">
        <f t="shared" si="237"/>
        <v>6C</v>
      </c>
      <c r="H389" s="276"/>
      <c r="I389" s="361">
        <f>+Linkin!I72</f>
        <v>783000</v>
      </c>
      <c r="K389" s="207">
        <f t="shared" si="238"/>
        <v>0</v>
      </c>
      <c r="M389" s="207">
        <f t="shared" si="239"/>
        <v>0</v>
      </c>
      <c r="N389" s="207"/>
      <c r="O389" s="207">
        <f t="shared" si="240"/>
        <v>0</v>
      </c>
      <c r="P389" s="207"/>
      <c r="Q389" s="207">
        <f t="shared" si="240"/>
        <v>0</v>
      </c>
      <c r="R389" s="207"/>
      <c r="S389" s="207">
        <f t="shared" si="241"/>
        <v>0</v>
      </c>
      <c r="T389" s="207"/>
      <c r="U389" s="207">
        <f t="shared" si="241"/>
        <v>0</v>
      </c>
      <c r="V389" s="207"/>
      <c r="W389" s="207">
        <f t="shared" si="242"/>
        <v>677060</v>
      </c>
      <c r="X389" s="207"/>
      <c r="Y389" s="207">
        <f t="shared" si="243"/>
        <v>96622</v>
      </c>
      <c r="Z389" s="207"/>
      <c r="AA389" s="207">
        <f t="shared" si="244"/>
        <v>5559</v>
      </c>
      <c r="AB389" s="207"/>
      <c r="AC389" s="207">
        <f t="shared" si="244"/>
        <v>2584</v>
      </c>
      <c r="AD389" s="207"/>
      <c r="AE389" s="207">
        <f t="shared" si="245"/>
        <v>548</v>
      </c>
      <c r="AF389" s="207"/>
      <c r="AG389" s="207">
        <f t="shared" si="245"/>
        <v>626</v>
      </c>
      <c r="AI389" s="208">
        <f t="shared" si="224"/>
        <v>-1</v>
      </c>
      <c r="AK389" s="631"/>
    </row>
    <row r="390" spans="1:37">
      <c r="C390" s="210">
        <v>893</v>
      </c>
      <c r="E390" s="276" t="s">
        <v>122</v>
      </c>
      <c r="F390" s="276"/>
      <c r="G390" s="325">
        <f t="shared" si="237"/>
        <v>6</v>
      </c>
      <c r="H390" s="276"/>
      <c r="I390" s="361">
        <f>+Linkin!I73</f>
        <v>440000</v>
      </c>
      <c r="K390" s="207">
        <f t="shared" si="238"/>
        <v>0</v>
      </c>
      <c r="M390" s="207">
        <f t="shared" si="239"/>
        <v>0</v>
      </c>
      <c r="N390" s="207"/>
      <c r="O390" s="207">
        <f t="shared" si="240"/>
        <v>0</v>
      </c>
      <c r="P390" s="207"/>
      <c r="Q390" s="207">
        <f t="shared" si="240"/>
        <v>0</v>
      </c>
      <c r="R390" s="207"/>
      <c r="S390" s="207">
        <f t="shared" si="241"/>
        <v>0</v>
      </c>
      <c r="T390" s="207"/>
      <c r="U390" s="207">
        <f t="shared" si="241"/>
        <v>0</v>
      </c>
      <c r="V390" s="207"/>
      <c r="W390" s="207">
        <f t="shared" si="242"/>
        <v>185064</v>
      </c>
      <c r="X390" s="207"/>
      <c r="Y390" s="207">
        <f t="shared" si="243"/>
        <v>143924</v>
      </c>
      <c r="Z390" s="207"/>
      <c r="AA390" s="207">
        <f t="shared" si="244"/>
        <v>73304</v>
      </c>
      <c r="AB390" s="207"/>
      <c r="AC390" s="207">
        <f t="shared" si="244"/>
        <v>29436</v>
      </c>
      <c r="AD390" s="207"/>
      <c r="AE390" s="207">
        <f t="shared" si="245"/>
        <v>1232</v>
      </c>
      <c r="AF390" s="207"/>
      <c r="AG390" s="207">
        <f t="shared" si="245"/>
        <v>7040</v>
      </c>
      <c r="AI390" s="208">
        <f t="shared" si="224"/>
        <v>0</v>
      </c>
      <c r="AK390" s="631"/>
    </row>
    <row r="391" spans="1:37">
      <c r="C391" s="210">
        <v>895</v>
      </c>
      <c r="E391" s="308" t="s">
        <v>169</v>
      </c>
      <c r="F391" s="276"/>
      <c r="G391" s="325">
        <f t="shared" si="237"/>
        <v>11</v>
      </c>
      <c r="H391" s="276"/>
      <c r="I391" s="361">
        <f>+Linkin!I74</f>
        <v>58000</v>
      </c>
      <c r="K391" s="207">
        <f t="shared" si="238"/>
        <v>22556</v>
      </c>
      <c r="M391" s="207">
        <f t="shared" si="239"/>
        <v>9384</v>
      </c>
      <c r="N391" s="207"/>
      <c r="O391" s="207">
        <f t="shared" si="240"/>
        <v>4112</v>
      </c>
      <c r="P391" s="207"/>
      <c r="Q391" s="207">
        <f t="shared" si="240"/>
        <v>3057</v>
      </c>
      <c r="R391" s="207"/>
      <c r="S391" s="207">
        <f t="shared" si="241"/>
        <v>7691</v>
      </c>
      <c r="T391" s="207"/>
      <c r="U391" s="207">
        <f t="shared" si="241"/>
        <v>383</v>
      </c>
      <c r="V391" s="207"/>
      <c r="W391" s="207">
        <f t="shared" si="242"/>
        <v>6450</v>
      </c>
      <c r="X391" s="207"/>
      <c r="Y391" s="207">
        <f t="shared" si="243"/>
        <v>1734</v>
      </c>
      <c r="Z391" s="207"/>
      <c r="AA391" s="207">
        <f t="shared" si="244"/>
        <v>551</v>
      </c>
      <c r="AB391" s="207"/>
      <c r="AC391" s="207">
        <f t="shared" si="244"/>
        <v>1299</v>
      </c>
      <c r="AD391" s="207"/>
      <c r="AE391" s="207">
        <f t="shared" si="245"/>
        <v>400</v>
      </c>
      <c r="AF391" s="207"/>
      <c r="AG391" s="207">
        <f t="shared" si="245"/>
        <v>383</v>
      </c>
      <c r="AI391" s="208">
        <f t="shared" si="224"/>
        <v>0</v>
      </c>
      <c r="AK391" s="631"/>
    </row>
    <row r="392" spans="1:37">
      <c r="C392" s="215">
        <v>894</v>
      </c>
      <c r="D392" s="201"/>
      <c r="E392" s="308" t="s">
        <v>169</v>
      </c>
      <c r="F392" s="276"/>
      <c r="G392" s="325">
        <f>+G89</f>
        <v>11</v>
      </c>
      <c r="H392" s="276"/>
      <c r="I392" s="361">
        <f>+Linkin!I75</f>
        <v>0</v>
      </c>
      <c r="K392" s="207">
        <f t="shared" si="238"/>
        <v>0</v>
      </c>
      <c r="M392" s="207">
        <f t="shared" si="239"/>
        <v>0</v>
      </c>
      <c r="N392" s="207"/>
      <c r="O392" s="207">
        <f t="shared" si="240"/>
        <v>0</v>
      </c>
      <c r="P392" s="207"/>
      <c r="Q392" s="207">
        <f t="shared" si="240"/>
        <v>0</v>
      </c>
      <c r="R392" s="207"/>
      <c r="S392" s="207">
        <f t="shared" si="241"/>
        <v>0</v>
      </c>
      <c r="T392" s="207"/>
      <c r="U392" s="207">
        <f t="shared" si="241"/>
        <v>0</v>
      </c>
      <c r="V392" s="207"/>
      <c r="W392" s="207">
        <f t="shared" si="242"/>
        <v>0</v>
      </c>
      <c r="X392" s="207"/>
      <c r="Y392" s="207">
        <f t="shared" si="243"/>
        <v>0</v>
      </c>
      <c r="Z392" s="207"/>
      <c r="AA392" s="207">
        <f t="shared" si="244"/>
        <v>0</v>
      </c>
      <c r="AB392" s="207"/>
      <c r="AC392" s="207">
        <f t="shared" si="244"/>
        <v>0</v>
      </c>
      <c r="AD392" s="207"/>
      <c r="AE392" s="207">
        <f t="shared" si="245"/>
        <v>0</v>
      </c>
      <c r="AF392" s="207"/>
      <c r="AG392" s="207">
        <f t="shared" si="245"/>
        <v>0</v>
      </c>
      <c r="AI392" s="208">
        <f t="shared" si="224"/>
        <v>0</v>
      </c>
      <c r="AK392" s="631"/>
    </row>
    <row r="393" spans="1:37" s="54" customFormat="1">
      <c r="A393" s="200"/>
      <c r="B393" s="200"/>
      <c r="C393" s="210">
        <v>901</v>
      </c>
      <c r="D393" s="200"/>
      <c r="E393" s="276" t="s">
        <v>167</v>
      </c>
      <c r="F393" s="276"/>
      <c r="G393" s="325">
        <f>+G98</f>
        <v>7</v>
      </c>
      <c r="H393" s="276"/>
      <c r="I393" s="361">
        <f>+Linkin!I81</f>
        <v>73000</v>
      </c>
      <c r="J393" s="200"/>
      <c r="K393" s="207">
        <f t="shared" si="238"/>
        <v>0</v>
      </c>
      <c r="L393" s="200"/>
      <c r="M393" s="207">
        <f t="shared" si="239"/>
        <v>0</v>
      </c>
      <c r="N393" s="207"/>
      <c r="O393" s="207">
        <f t="shared" si="240"/>
        <v>0</v>
      </c>
      <c r="P393" s="207"/>
      <c r="Q393" s="207">
        <f t="shared" si="240"/>
        <v>0</v>
      </c>
      <c r="R393" s="207"/>
      <c r="S393" s="207">
        <f t="shared" si="241"/>
        <v>0</v>
      </c>
      <c r="T393" s="207"/>
      <c r="U393" s="207">
        <f t="shared" si="241"/>
        <v>0</v>
      </c>
      <c r="V393" s="207"/>
      <c r="W393" s="207">
        <f t="shared" si="242"/>
        <v>65715</v>
      </c>
      <c r="X393" s="207"/>
      <c r="Y393" s="207">
        <f t="shared" si="243"/>
        <v>7015</v>
      </c>
      <c r="Z393" s="207"/>
      <c r="AA393" s="207">
        <f t="shared" si="244"/>
        <v>190</v>
      </c>
      <c r="AB393" s="207"/>
      <c r="AC393" s="207">
        <f t="shared" si="244"/>
        <v>58</v>
      </c>
      <c r="AD393" s="207"/>
      <c r="AE393" s="207">
        <f t="shared" si="245"/>
        <v>7</v>
      </c>
      <c r="AF393" s="207"/>
      <c r="AG393" s="207">
        <f t="shared" si="245"/>
        <v>15</v>
      </c>
      <c r="AH393" s="200"/>
      <c r="AI393" s="208">
        <f t="shared" si="224"/>
        <v>0</v>
      </c>
      <c r="AJ393" s="200"/>
      <c r="AK393" s="631"/>
    </row>
    <row r="394" spans="1:37">
      <c r="C394" s="210">
        <v>902</v>
      </c>
      <c r="E394" s="276" t="s">
        <v>123</v>
      </c>
      <c r="F394" s="276"/>
      <c r="G394" s="325">
        <f>+G99</f>
        <v>7</v>
      </c>
      <c r="H394" s="276"/>
      <c r="I394" s="361">
        <f>+Linkin!I82</f>
        <v>375000</v>
      </c>
      <c r="K394" s="207">
        <f t="shared" si="238"/>
        <v>0</v>
      </c>
      <c r="M394" s="207">
        <f t="shared" si="239"/>
        <v>0</v>
      </c>
      <c r="N394" s="207"/>
      <c r="O394" s="207">
        <f t="shared" si="240"/>
        <v>0</v>
      </c>
      <c r="P394" s="207"/>
      <c r="Q394" s="207">
        <f t="shared" si="240"/>
        <v>0</v>
      </c>
      <c r="R394" s="207"/>
      <c r="S394" s="207">
        <f t="shared" si="241"/>
        <v>0</v>
      </c>
      <c r="T394" s="207"/>
      <c r="U394" s="207">
        <f t="shared" si="241"/>
        <v>0</v>
      </c>
      <c r="V394" s="207"/>
      <c r="W394" s="207">
        <f t="shared" si="242"/>
        <v>337575</v>
      </c>
      <c r="X394" s="207"/>
      <c r="Y394" s="207">
        <f t="shared" si="243"/>
        <v>36038</v>
      </c>
      <c r="Z394" s="207"/>
      <c r="AA394" s="207">
        <f t="shared" si="244"/>
        <v>975</v>
      </c>
      <c r="AB394" s="207"/>
      <c r="AC394" s="207">
        <f t="shared" si="244"/>
        <v>300</v>
      </c>
      <c r="AD394" s="207"/>
      <c r="AE394" s="207">
        <f t="shared" si="245"/>
        <v>38</v>
      </c>
      <c r="AF394" s="207"/>
      <c r="AG394" s="207">
        <f t="shared" si="245"/>
        <v>75</v>
      </c>
      <c r="AI394" s="208">
        <f t="shared" si="224"/>
        <v>1</v>
      </c>
      <c r="AK394" s="631"/>
    </row>
    <row r="395" spans="1:37">
      <c r="C395" s="210">
        <v>903</v>
      </c>
      <c r="E395" s="276" t="s">
        <v>124</v>
      </c>
      <c r="F395" s="276"/>
      <c r="G395" s="325">
        <f>+G100</f>
        <v>7</v>
      </c>
      <c r="H395" s="276"/>
      <c r="I395" s="361">
        <f>+Linkin!I83</f>
        <v>2318000</v>
      </c>
      <c r="K395" s="207">
        <f t="shared" si="238"/>
        <v>0</v>
      </c>
      <c r="M395" s="207">
        <f t="shared" si="239"/>
        <v>0</v>
      </c>
      <c r="N395" s="207"/>
      <c r="O395" s="207">
        <f t="shared" si="240"/>
        <v>0</v>
      </c>
      <c r="P395" s="207"/>
      <c r="Q395" s="207">
        <f t="shared" si="240"/>
        <v>0</v>
      </c>
      <c r="R395" s="207"/>
      <c r="S395" s="207">
        <f t="shared" si="241"/>
        <v>0</v>
      </c>
      <c r="T395" s="207"/>
      <c r="U395" s="207">
        <f t="shared" si="241"/>
        <v>0</v>
      </c>
      <c r="V395" s="207"/>
      <c r="W395" s="207">
        <f t="shared" si="242"/>
        <v>2086664</v>
      </c>
      <c r="X395" s="207"/>
      <c r="Y395" s="207">
        <f t="shared" si="243"/>
        <v>222760</v>
      </c>
      <c r="Z395" s="207"/>
      <c r="AA395" s="207">
        <f t="shared" si="244"/>
        <v>6027</v>
      </c>
      <c r="AB395" s="207"/>
      <c r="AC395" s="207">
        <f t="shared" si="244"/>
        <v>1854</v>
      </c>
      <c r="AD395" s="207"/>
      <c r="AE395" s="207">
        <f t="shared" si="245"/>
        <v>232</v>
      </c>
      <c r="AF395" s="207"/>
      <c r="AG395" s="207">
        <f t="shared" si="245"/>
        <v>464</v>
      </c>
      <c r="AI395" s="208">
        <f t="shared" si="224"/>
        <v>1</v>
      </c>
      <c r="AK395" s="631"/>
    </row>
    <row r="396" spans="1:37">
      <c r="C396" s="210">
        <v>905</v>
      </c>
      <c r="E396" s="276" t="s">
        <v>315</v>
      </c>
      <c r="F396" s="276"/>
      <c r="G396" s="325">
        <f>+G103</f>
        <v>7</v>
      </c>
      <c r="H396" s="276"/>
      <c r="I396" s="361">
        <f>+Linkin!I85</f>
        <v>585000</v>
      </c>
      <c r="K396" s="207">
        <f t="shared" si="238"/>
        <v>0</v>
      </c>
      <c r="M396" s="207">
        <f t="shared" si="239"/>
        <v>0</v>
      </c>
      <c r="N396" s="207"/>
      <c r="O396" s="207">
        <f t="shared" si="240"/>
        <v>0</v>
      </c>
      <c r="P396" s="207"/>
      <c r="Q396" s="207">
        <f t="shared" si="240"/>
        <v>0</v>
      </c>
      <c r="R396" s="207"/>
      <c r="S396" s="207">
        <f t="shared" si="241"/>
        <v>0</v>
      </c>
      <c r="T396" s="207"/>
      <c r="U396" s="207">
        <f t="shared" si="241"/>
        <v>0</v>
      </c>
      <c r="V396" s="207"/>
      <c r="W396" s="207">
        <f t="shared" si="242"/>
        <v>526617</v>
      </c>
      <c r="X396" s="207"/>
      <c r="Y396" s="207">
        <f t="shared" si="243"/>
        <v>56219</v>
      </c>
      <c r="Z396" s="207"/>
      <c r="AA396" s="207">
        <f t="shared" si="244"/>
        <v>1521</v>
      </c>
      <c r="AB396" s="207"/>
      <c r="AC396" s="207">
        <f t="shared" si="244"/>
        <v>468</v>
      </c>
      <c r="AD396" s="207"/>
      <c r="AE396" s="207">
        <f t="shared" si="245"/>
        <v>59</v>
      </c>
      <c r="AF396" s="207"/>
      <c r="AG396" s="207">
        <f t="shared" si="245"/>
        <v>117</v>
      </c>
      <c r="AI396" s="208">
        <f t="shared" ref="AI396" si="246">SUM(K396:AG396)-I396</f>
        <v>1</v>
      </c>
      <c r="AK396" s="631"/>
    </row>
    <row r="397" spans="1:37" s="54" customFormat="1">
      <c r="A397" s="200"/>
      <c r="B397" s="200"/>
      <c r="C397" s="210">
        <v>907</v>
      </c>
      <c r="D397" s="200"/>
      <c r="E397" s="124" t="s">
        <v>167</v>
      </c>
      <c r="F397" s="276"/>
      <c r="G397" s="325">
        <f>+G109</f>
        <v>7</v>
      </c>
      <c r="H397" s="276"/>
      <c r="I397" s="361">
        <f>+Linkin!I89</f>
        <v>0</v>
      </c>
      <c r="J397" s="200"/>
      <c r="K397" s="207">
        <f t="shared" si="238"/>
        <v>0</v>
      </c>
      <c r="L397" s="200"/>
      <c r="M397" s="207">
        <f t="shared" si="239"/>
        <v>0</v>
      </c>
      <c r="N397" s="207"/>
      <c r="O397" s="207">
        <f t="shared" si="240"/>
        <v>0</v>
      </c>
      <c r="P397" s="207"/>
      <c r="Q397" s="207">
        <f t="shared" si="240"/>
        <v>0</v>
      </c>
      <c r="R397" s="207"/>
      <c r="S397" s="207">
        <f t="shared" si="241"/>
        <v>0</v>
      </c>
      <c r="T397" s="207"/>
      <c r="U397" s="207">
        <f t="shared" si="241"/>
        <v>0</v>
      </c>
      <c r="V397" s="207"/>
      <c r="W397" s="207">
        <f t="shared" si="242"/>
        <v>0</v>
      </c>
      <c r="X397" s="207"/>
      <c r="Y397" s="207">
        <f t="shared" si="243"/>
        <v>0</v>
      </c>
      <c r="Z397" s="207"/>
      <c r="AA397" s="207">
        <f t="shared" si="244"/>
        <v>0</v>
      </c>
      <c r="AB397" s="207"/>
      <c r="AC397" s="207">
        <f t="shared" si="244"/>
        <v>0</v>
      </c>
      <c r="AD397" s="207"/>
      <c r="AE397" s="207">
        <f t="shared" si="245"/>
        <v>0</v>
      </c>
      <c r="AF397" s="207"/>
      <c r="AG397" s="207">
        <f t="shared" si="245"/>
        <v>0</v>
      </c>
      <c r="AH397" s="200"/>
      <c r="AI397" s="208">
        <f t="shared" si="224"/>
        <v>0</v>
      </c>
      <c r="AJ397" s="200"/>
      <c r="AK397" s="631"/>
    </row>
    <row r="398" spans="1:37" s="54" customFormat="1">
      <c r="A398" s="200"/>
      <c r="B398" s="200"/>
      <c r="C398" s="210">
        <v>908</v>
      </c>
      <c r="D398" s="200"/>
      <c r="E398" s="276" t="s">
        <v>125</v>
      </c>
      <c r="F398" s="276"/>
      <c r="G398" s="325">
        <f>+G110</f>
        <v>9</v>
      </c>
      <c r="H398" s="276"/>
      <c r="I398" s="361">
        <f>+Linkin!I90</f>
        <v>363000</v>
      </c>
      <c r="J398" s="200"/>
      <c r="K398" s="207">
        <f t="shared" ref="K398:K405" si="247">ROUND(VLOOKUP($G398,factors,+K$318)*$I398,0)</f>
        <v>0</v>
      </c>
      <c r="L398" s="200"/>
      <c r="M398" s="207">
        <f t="shared" ref="M398:M405" si="248">ROUND(VLOOKUP($G398,factors,+M$318)*$I398,0)</f>
        <v>0</v>
      </c>
      <c r="N398" s="207"/>
      <c r="O398" s="207">
        <f t="shared" ref="O398:Q405" si="249">ROUND(VLOOKUP($G398,factors,+O$318)*$I398,0)</f>
        <v>0</v>
      </c>
      <c r="P398" s="207"/>
      <c r="Q398" s="207">
        <f t="shared" si="249"/>
        <v>0</v>
      </c>
      <c r="R398" s="207"/>
      <c r="S398" s="207">
        <f t="shared" ref="S398:U405" si="250">ROUND(VLOOKUP($G398,factors,+S$318)*$I398,0)</f>
        <v>0</v>
      </c>
      <c r="T398" s="207"/>
      <c r="U398" s="207">
        <f t="shared" si="250"/>
        <v>0</v>
      </c>
      <c r="V398" s="207"/>
      <c r="W398" s="207">
        <f t="shared" ref="W398:W405" si="251">ROUND(VLOOKUP($G398,factors,+W$318)*$I398,0)</f>
        <v>363000</v>
      </c>
      <c r="X398" s="207"/>
      <c r="Y398" s="207">
        <f t="shared" ref="Y398:Y405" si="252">ROUND(VLOOKUP($G398,factors,+Y$318)*$I398,0)</f>
        <v>0</v>
      </c>
      <c r="Z398" s="207"/>
      <c r="AA398" s="207">
        <f t="shared" ref="AA398:AC405" si="253">ROUND(VLOOKUP($G398,factors,+AA$318)*$I398,0)</f>
        <v>0</v>
      </c>
      <c r="AB398" s="207"/>
      <c r="AC398" s="207">
        <f t="shared" si="253"/>
        <v>0</v>
      </c>
      <c r="AD398" s="207"/>
      <c r="AE398" s="207">
        <f t="shared" ref="AE398:AG405" si="254">ROUND(VLOOKUP($G398,factors,+AE$318)*$I398,0)</f>
        <v>0</v>
      </c>
      <c r="AF398" s="207"/>
      <c r="AG398" s="207">
        <f t="shared" si="254"/>
        <v>0</v>
      </c>
      <c r="AH398" s="200"/>
      <c r="AI398" s="208">
        <f t="shared" si="224"/>
        <v>0</v>
      </c>
      <c r="AJ398" s="200"/>
      <c r="AK398" s="631"/>
    </row>
    <row r="399" spans="1:37" s="54" customFormat="1">
      <c r="A399" s="200"/>
      <c r="B399" s="200"/>
      <c r="C399" s="210">
        <v>910</v>
      </c>
      <c r="D399" s="200"/>
      <c r="E399" s="550" t="s">
        <v>557</v>
      </c>
      <c r="F399" s="276"/>
      <c r="G399" s="325">
        <f>+G112</f>
        <v>7</v>
      </c>
      <c r="H399" s="276"/>
      <c r="I399" s="361">
        <f>+Linkin!I92</f>
        <v>17000</v>
      </c>
      <c r="J399" s="200"/>
      <c r="K399" s="207">
        <f t="shared" si="247"/>
        <v>0</v>
      </c>
      <c r="L399" s="200"/>
      <c r="M399" s="207">
        <f t="shared" si="248"/>
        <v>0</v>
      </c>
      <c r="N399" s="207"/>
      <c r="O399" s="207">
        <f t="shared" si="249"/>
        <v>0</v>
      </c>
      <c r="P399" s="207"/>
      <c r="Q399" s="207">
        <f t="shared" si="249"/>
        <v>0</v>
      </c>
      <c r="R399" s="207"/>
      <c r="S399" s="207">
        <f t="shared" si="250"/>
        <v>0</v>
      </c>
      <c r="T399" s="207"/>
      <c r="U399" s="207">
        <f t="shared" si="250"/>
        <v>0</v>
      </c>
      <c r="V399" s="207"/>
      <c r="W399" s="207">
        <f t="shared" si="251"/>
        <v>15303</v>
      </c>
      <c r="X399" s="207"/>
      <c r="Y399" s="207">
        <f t="shared" si="252"/>
        <v>1634</v>
      </c>
      <c r="Z399" s="207"/>
      <c r="AA399" s="207">
        <f t="shared" si="253"/>
        <v>44</v>
      </c>
      <c r="AB399" s="207"/>
      <c r="AC399" s="207">
        <f t="shared" si="253"/>
        <v>14</v>
      </c>
      <c r="AD399" s="207"/>
      <c r="AE399" s="207">
        <f t="shared" si="254"/>
        <v>2</v>
      </c>
      <c r="AF399" s="207"/>
      <c r="AG399" s="207">
        <f t="shared" si="254"/>
        <v>3</v>
      </c>
      <c r="AH399" s="200"/>
      <c r="AI399" s="208">
        <f t="shared" si="224"/>
        <v>0</v>
      </c>
      <c r="AJ399" s="200"/>
      <c r="AK399" s="631"/>
    </row>
    <row r="400" spans="1:37" s="54" customFormat="1">
      <c r="A400" s="200"/>
      <c r="B400" s="200"/>
      <c r="C400" s="210">
        <v>911</v>
      </c>
      <c r="D400" s="200"/>
      <c r="E400" s="276" t="s">
        <v>167</v>
      </c>
      <c r="F400" s="276"/>
      <c r="G400" s="325">
        <f>+G118</f>
        <v>8</v>
      </c>
      <c r="H400" s="276"/>
      <c r="I400" s="361">
        <f>+Linkin!I96</f>
        <v>0</v>
      </c>
      <c r="J400" s="200"/>
      <c r="K400" s="207">
        <f t="shared" si="247"/>
        <v>0</v>
      </c>
      <c r="L400" s="200"/>
      <c r="M400" s="207">
        <f t="shared" si="248"/>
        <v>0</v>
      </c>
      <c r="N400" s="207"/>
      <c r="O400" s="207">
        <f t="shared" si="249"/>
        <v>0</v>
      </c>
      <c r="P400" s="207"/>
      <c r="Q400" s="207">
        <f t="shared" si="249"/>
        <v>0</v>
      </c>
      <c r="R400" s="207"/>
      <c r="S400" s="207">
        <f t="shared" si="250"/>
        <v>0</v>
      </c>
      <c r="T400" s="207"/>
      <c r="U400" s="207">
        <f t="shared" si="250"/>
        <v>0</v>
      </c>
      <c r="V400" s="207"/>
      <c r="W400" s="207">
        <f t="shared" si="251"/>
        <v>0</v>
      </c>
      <c r="X400" s="207"/>
      <c r="Y400" s="207">
        <f t="shared" si="252"/>
        <v>0</v>
      </c>
      <c r="Z400" s="207"/>
      <c r="AA400" s="207">
        <f t="shared" si="253"/>
        <v>0</v>
      </c>
      <c r="AB400" s="207"/>
      <c r="AC400" s="207">
        <f t="shared" si="253"/>
        <v>0</v>
      </c>
      <c r="AD400" s="207"/>
      <c r="AE400" s="207">
        <f t="shared" si="254"/>
        <v>0</v>
      </c>
      <c r="AF400" s="207"/>
      <c r="AG400" s="207">
        <f t="shared" si="254"/>
        <v>0</v>
      </c>
      <c r="AH400" s="200"/>
      <c r="AI400" s="208">
        <f t="shared" si="224"/>
        <v>0</v>
      </c>
      <c r="AJ400" s="200"/>
      <c r="AK400" s="631"/>
    </row>
    <row r="401" spans="1:37" s="54" customFormat="1">
      <c r="A401" s="200"/>
      <c r="B401" s="200"/>
      <c r="C401" s="210">
        <v>912</v>
      </c>
      <c r="D401" s="200"/>
      <c r="E401" s="276" t="s">
        <v>126</v>
      </c>
      <c r="F401" s="276"/>
      <c r="G401" s="325">
        <f>+G119</f>
        <v>8</v>
      </c>
      <c r="H401" s="276"/>
      <c r="I401" s="361">
        <f>+Linkin!I97</f>
        <v>184000</v>
      </c>
      <c r="J401" s="200"/>
      <c r="K401" s="207">
        <f t="shared" si="247"/>
        <v>0</v>
      </c>
      <c r="L401" s="200"/>
      <c r="M401" s="207">
        <f t="shared" si="248"/>
        <v>0</v>
      </c>
      <c r="N401" s="207"/>
      <c r="O401" s="207">
        <f t="shared" si="249"/>
        <v>0</v>
      </c>
      <c r="P401" s="207"/>
      <c r="Q401" s="207">
        <f t="shared" si="249"/>
        <v>0</v>
      </c>
      <c r="R401" s="207"/>
      <c r="S401" s="207">
        <f t="shared" si="250"/>
        <v>0</v>
      </c>
      <c r="T401" s="207"/>
      <c r="U401" s="207">
        <f t="shared" si="250"/>
        <v>0</v>
      </c>
      <c r="V401" s="207"/>
      <c r="W401" s="207">
        <f t="shared" si="251"/>
        <v>166262</v>
      </c>
      <c r="X401" s="207"/>
      <c r="Y401" s="207">
        <f t="shared" si="252"/>
        <v>17738</v>
      </c>
      <c r="Z401" s="207"/>
      <c r="AA401" s="207">
        <f t="shared" si="253"/>
        <v>0</v>
      </c>
      <c r="AB401" s="207"/>
      <c r="AC401" s="207">
        <f t="shared" si="253"/>
        <v>0</v>
      </c>
      <c r="AD401" s="207"/>
      <c r="AE401" s="207">
        <f t="shared" si="254"/>
        <v>0</v>
      </c>
      <c r="AF401" s="207"/>
      <c r="AG401" s="207">
        <f t="shared" si="254"/>
        <v>0</v>
      </c>
      <c r="AH401" s="200"/>
      <c r="AI401" s="208">
        <f t="shared" si="224"/>
        <v>0</v>
      </c>
      <c r="AJ401" s="200"/>
      <c r="AK401" s="631"/>
    </row>
    <row r="402" spans="1:37">
      <c r="C402" s="210">
        <v>920</v>
      </c>
      <c r="E402" s="276" t="s">
        <v>127</v>
      </c>
      <c r="F402" s="276"/>
      <c r="G402" s="325">
        <f>+G128</f>
        <v>12</v>
      </c>
      <c r="H402" s="276"/>
      <c r="I402" s="361">
        <f>+Linkin!I104</f>
        <v>5252000</v>
      </c>
      <c r="K402" s="207">
        <f t="shared" si="247"/>
        <v>1122878</v>
      </c>
      <c r="M402" s="207">
        <f t="shared" si="248"/>
        <v>424887</v>
      </c>
      <c r="N402" s="207"/>
      <c r="O402" s="207">
        <f t="shared" si="249"/>
        <v>184345</v>
      </c>
      <c r="P402" s="207"/>
      <c r="Q402" s="207">
        <f t="shared" si="249"/>
        <v>136552</v>
      </c>
      <c r="R402" s="207"/>
      <c r="S402" s="207">
        <f t="shared" si="250"/>
        <v>432240</v>
      </c>
      <c r="T402" s="207"/>
      <c r="U402" s="207">
        <f t="shared" si="250"/>
        <v>17332</v>
      </c>
      <c r="V402" s="207"/>
      <c r="W402" s="207">
        <f t="shared" si="251"/>
        <v>2405941</v>
      </c>
      <c r="X402" s="207"/>
      <c r="Y402" s="207">
        <f t="shared" si="252"/>
        <v>329826</v>
      </c>
      <c r="Z402" s="207"/>
      <c r="AA402" s="207">
        <f t="shared" si="253"/>
        <v>92960</v>
      </c>
      <c r="AB402" s="207"/>
      <c r="AC402" s="207">
        <f t="shared" si="253"/>
        <v>69326</v>
      </c>
      <c r="AD402" s="207"/>
      <c r="AE402" s="207">
        <f t="shared" si="254"/>
        <v>16281</v>
      </c>
      <c r="AF402" s="207"/>
      <c r="AG402" s="207">
        <f t="shared" si="254"/>
        <v>19432</v>
      </c>
      <c r="AI402" s="208">
        <f t="shared" si="224"/>
        <v>0</v>
      </c>
      <c r="AK402" s="631"/>
    </row>
    <row r="403" spans="1:37">
      <c r="C403" s="210">
        <v>921</v>
      </c>
      <c r="E403" s="276" t="s">
        <v>128</v>
      </c>
      <c r="F403" s="276"/>
      <c r="G403" s="325">
        <f>+G129</f>
        <v>12</v>
      </c>
      <c r="H403" s="276"/>
      <c r="I403" s="361">
        <f>+Linkin!I105</f>
        <v>41000</v>
      </c>
      <c r="K403" s="207">
        <f t="shared" si="247"/>
        <v>8766</v>
      </c>
      <c r="M403" s="207">
        <f t="shared" si="248"/>
        <v>3317</v>
      </c>
      <c r="N403" s="207"/>
      <c r="O403" s="207">
        <f t="shared" si="249"/>
        <v>1439</v>
      </c>
      <c r="P403" s="207"/>
      <c r="Q403" s="207">
        <f t="shared" si="249"/>
        <v>1066</v>
      </c>
      <c r="R403" s="207"/>
      <c r="S403" s="207">
        <f t="shared" si="250"/>
        <v>3374</v>
      </c>
      <c r="T403" s="207"/>
      <c r="U403" s="207">
        <f t="shared" si="250"/>
        <v>135</v>
      </c>
      <c r="V403" s="207"/>
      <c r="W403" s="207">
        <f t="shared" si="251"/>
        <v>18782</v>
      </c>
      <c r="X403" s="207"/>
      <c r="Y403" s="207">
        <f t="shared" si="252"/>
        <v>2575</v>
      </c>
      <c r="Z403" s="207"/>
      <c r="AA403" s="207">
        <f t="shared" si="253"/>
        <v>726</v>
      </c>
      <c r="AB403" s="207"/>
      <c r="AC403" s="207">
        <f t="shared" si="253"/>
        <v>541</v>
      </c>
      <c r="AD403" s="207"/>
      <c r="AE403" s="207">
        <f t="shared" si="254"/>
        <v>127</v>
      </c>
      <c r="AF403" s="207"/>
      <c r="AG403" s="207">
        <f t="shared" si="254"/>
        <v>152</v>
      </c>
      <c r="AI403" s="208">
        <f t="shared" si="224"/>
        <v>0</v>
      </c>
      <c r="AK403" s="631"/>
    </row>
    <row r="404" spans="1:37">
      <c r="C404" s="210">
        <v>925</v>
      </c>
      <c r="E404" s="140" t="s">
        <v>98</v>
      </c>
      <c r="F404" s="276"/>
      <c r="G404" s="325">
        <f>+G132</f>
        <v>12</v>
      </c>
      <c r="H404" s="276"/>
      <c r="I404" s="361">
        <f>+Linkin!I108</f>
        <v>313000</v>
      </c>
      <c r="K404" s="207">
        <f t="shared" si="247"/>
        <v>66919</v>
      </c>
      <c r="M404" s="207">
        <f t="shared" si="248"/>
        <v>25322</v>
      </c>
      <c r="N404" s="207"/>
      <c r="O404" s="207">
        <f t="shared" si="249"/>
        <v>10986</v>
      </c>
      <c r="P404" s="207"/>
      <c r="Q404" s="207">
        <f t="shared" si="249"/>
        <v>8138</v>
      </c>
      <c r="R404" s="207"/>
      <c r="S404" s="207">
        <f t="shared" si="250"/>
        <v>25760</v>
      </c>
      <c r="T404" s="207"/>
      <c r="U404" s="207">
        <f t="shared" si="250"/>
        <v>1033</v>
      </c>
      <c r="V404" s="207"/>
      <c r="W404" s="207">
        <f t="shared" si="251"/>
        <v>143385</v>
      </c>
      <c r="X404" s="207"/>
      <c r="Y404" s="207">
        <f t="shared" si="252"/>
        <v>19656</v>
      </c>
      <c r="Z404" s="207"/>
      <c r="AA404" s="207">
        <f t="shared" si="253"/>
        <v>5540</v>
      </c>
      <c r="AB404" s="207"/>
      <c r="AC404" s="207">
        <f t="shared" si="253"/>
        <v>4132</v>
      </c>
      <c r="AD404" s="207"/>
      <c r="AE404" s="207">
        <f t="shared" si="254"/>
        <v>970</v>
      </c>
      <c r="AF404" s="207"/>
      <c r="AG404" s="207">
        <f t="shared" si="254"/>
        <v>1158</v>
      </c>
      <c r="AI404" s="208">
        <f t="shared" si="224"/>
        <v>-1</v>
      </c>
      <c r="AK404" s="631"/>
    </row>
    <row r="405" spans="1:37">
      <c r="C405" s="210">
        <v>932</v>
      </c>
      <c r="E405" s="276" t="s">
        <v>129</v>
      </c>
      <c r="F405" s="276"/>
      <c r="G405" s="325">
        <f>+G141</f>
        <v>12</v>
      </c>
      <c r="H405" s="276"/>
      <c r="I405" s="479">
        <f>+Linkin!I117</f>
        <v>221000</v>
      </c>
      <c r="K405" s="212">
        <f t="shared" si="247"/>
        <v>47250</v>
      </c>
      <c r="M405" s="212">
        <f t="shared" si="248"/>
        <v>17879</v>
      </c>
      <c r="N405" s="207"/>
      <c r="O405" s="212">
        <f t="shared" si="249"/>
        <v>7757</v>
      </c>
      <c r="P405" s="207"/>
      <c r="Q405" s="212">
        <f t="shared" si="249"/>
        <v>5746</v>
      </c>
      <c r="R405" s="207"/>
      <c r="S405" s="212">
        <f t="shared" si="250"/>
        <v>18188</v>
      </c>
      <c r="T405" s="213"/>
      <c r="U405" s="212">
        <f t="shared" si="250"/>
        <v>729</v>
      </c>
      <c r="V405" s="207"/>
      <c r="W405" s="212">
        <f t="shared" si="251"/>
        <v>101240</v>
      </c>
      <c r="X405" s="207"/>
      <c r="Y405" s="212">
        <f t="shared" si="252"/>
        <v>13879</v>
      </c>
      <c r="Z405" s="207"/>
      <c r="AA405" s="212">
        <f t="shared" si="253"/>
        <v>3912</v>
      </c>
      <c r="AB405" s="207"/>
      <c r="AC405" s="212">
        <f t="shared" si="253"/>
        <v>2917</v>
      </c>
      <c r="AD405" s="207"/>
      <c r="AE405" s="212">
        <f t="shared" si="254"/>
        <v>685</v>
      </c>
      <c r="AF405" s="213"/>
      <c r="AG405" s="212">
        <f t="shared" si="254"/>
        <v>818</v>
      </c>
      <c r="AI405" s="208">
        <f t="shared" si="224"/>
        <v>0</v>
      </c>
      <c r="AK405" s="631"/>
    </row>
    <row r="406" spans="1:37">
      <c r="E406" s="276"/>
      <c r="F406" s="276"/>
      <c r="G406" s="325"/>
      <c r="H406" s="276"/>
      <c r="I406" s="308"/>
      <c r="K406" s="201"/>
      <c r="M406" s="201"/>
      <c r="O406" s="201"/>
      <c r="Q406" s="201"/>
      <c r="S406" s="201"/>
      <c r="T406" s="201"/>
      <c r="U406" s="201"/>
      <c r="W406" s="201"/>
      <c r="Y406" s="201"/>
      <c r="AA406" s="201"/>
      <c r="AC406" s="201"/>
      <c r="AE406" s="201"/>
      <c r="AF406" s="201"/>
      <c r="AG406" s="201"/>
      <c r="AI406" s="208">
        <f t="shared" si="224"/>
        <v>0</v>
      </c>
      <c r="AK406" s="631"/>
    </row>
    <row r="407" spans="1:37">
      <c r="E407" s="276" t="s">
        <v>280</v>
      </c>
      <c r="F407" s="276"/>
      <c r="G407" s="325"/>
      <c r="H407" s="276"/>
      <c r="I407" s="361">
        <f>SUM(I364:I405)</f>
        <v>21480000</v>
      </c>
      <c r="K407" s="206">
        <f>SUM(K364:K405)</f>
        <v>4136689</v>
      </c>
      <c r="M407" s="206">
        <f>SUM(M364:M405)</f>
        <v>1673918</v>
      </c>
      <c r="O407" s="206">
        <f>SUM(O364:O405)</f>
        <v>727562</v>
      </c>
      <c r="Q407" s="206">
        <f>SUM(Q364:Q405)</f>
        <v>539854</v>
      </c>
      <c r="S407" s="206">
        <f>SUM(S364:S405)</f>
        <v>1745347</v>
      </c>
      <c r="T407" s="206"/>
      <c r="U407" s="206">
        <f>SUM(U364:U405)</f>
        <v>68011</v>
      </c>
      <c r="W407" s="206">
        <f>SUM(W364:W405)</f>
        <v>9499991</v>
      </c>
      <c r="Y407" s="206">
        <f>SUM(Y364:Y405)</f>
        <v>1784605</v>
      </c>
      <c r="AA407" s="206">
        <f>SUM(AA364:AA405)</f>
        <v>511808</v>
      </c>
      <c r="AC407" s="206">
        <f>SUM(AC364:AC405)</f>
        <v>519492</v>
      </c>
      <c r="AE407" s="206">
        <f>SUM(AE364:AE405)</f>
        <v>126951</v>
      </c>
      <c r="AF407" s="206"/>
      <c r="AG407" s="206">
        <f>SUM(AG364:AG405)</f>
        <v>145781</v>
      </c>
      <c r="AI407" s="208">
        <f t="shared" si="224"/>
        <v>9</v>
      </c>
      <c r="AK407" s="631"/>
    </row>
    <row r="408" spans="1:37">
      <c r="E408" s="276"/>
      <c r="F408" s="276"/>
      <c r="G408" s="325"/>
      <c r="H408" s="276"/>
      <c r="I408" s="276"/>
      <c r="AI408" s="208">
        <f t="shared" si="224"/>
        <v>0</v>
      </c>
      <c r="AK408" s="631"/>
    </row>
    <row r="409" spans="1:37" s="112" customFormat="1">
      <c r="A409" s="276"/>
      <c r="B409" s="276"/>
      <c r="C409" s="276"/>
      <c r="D409" s="276"/>
      <c r="E409" s="276"/>
      <c r="F409" s="276"/>
      <c r="G409" s="325"/>
      <c r="H409" s="276"/>
      <c r="J409" s="276"/>
      <c r="K409" s="276"/>
      <c r="L409" s="276"/>
      <c r="M409" s="276"/>
      <c r="N409" s="276"/>
      <c r="O409" s="276"/>
      <c r="P409" s="276"/>
      <c r="Q409" s="276"/>
      <c r="R409" s="276"/>
      <c r="S409" s="276"/>
      <c r="T409" s="276"/>
      <c r="U409" s="276"/>
      <c r="V409" s="276"/>
      <c r="W409" s="276"/>
      <c r="X409" s="276"/>
      <c r="Y409" s="276"/>
      <c r="Z409" s="276"/>
      <c r="AA409" s="276"/>
      <c r="AB409" s="276"/>
      <c r="AC409" s="276"/>
      <c r="AD409" s="276"/>
      <c r="AE409" s="276"/>
      <c r="AF409" s="276"/>
      <c r="AG409" s="276"/>
      <c r="AH409" s="276"/>
      <c r="AI409" s="208">
        <f t="shared" si="224"/>
        <v>0</v>
      </c>
      <c r="AJ409" s="276"/>
      <c r="AK409" s="634"/>
    </row>
    <row r="410" spans="1:37" s="112" customFormat="1">
      <c r="A410" s="276"/>
      <c r="B410" s="276"/>
      <c r="C410" s="276"/>
      <c r="D410" s="276"/>
      <c r="E410" s="276"/>
      <c r="F410" s="276"/>
      <c r="G410" s="325"/>
      <c r="H410" s="276"/>
      <c r="I410" s="361"/>
      <c r="J410" s="276"/>
      <c r="K410" s="276"/>
      <c r="L410" s="276"/>
      <c r="M410" s="276"/>
      <c r="N410" s="276"/>
      <c r="O410" s="276"/>
      <c r="P410" s="276"/>
      <c r="Q410" s="276"/>
      <c r="R410" s="276"/>
      <c r="S410" s="276"/>
      <c r="T410" s="276"/>
      <c r="U410" s="276"/>
      <c r="V410" s="276"/>
      <c r="W410" s="276"/>
      <c r="X410" s="276"/>
      <c r="Y410" s="276"/>
      <c r="Z410" s="276"/>
      <c r="AA410" s="276"/>
      <c r="AB410" s="276"/>
      <c r="AC410" s="276"/>
      <c r="AD410" s="276"/>
      <c r="AE410" s="276"/>
      <c r="AF410" s="276"/>
      <c r="AG410" s="276"/>
      <c r="AH410" s="276"/>
      <c r="AI410" s="208">
        <f t="shared" si="224"/>
        <v>0</v>
      </c>
      <c r="AJ410" s="276"/>
      <c r="AK410" s="634"/>
    </row>
    <row r="411" spans="1:37">
      <c r="C411" s="325">
        <v>926</v>
      </c>
      <c r="D411" s="276"/>
      <c r="E411" s="109" t="s">
        <v>424</v>
      </c>
      <c r="F411" s="276"/>
      <c r="G411" s="325">
        <v>13</v>
      </c>
      <c r="H411" s="276"/>
      <c r="I411" s="361">
        <f>+Linkin!I109</f>
        <v>716000</v>
      </c>
      <c r="K411" s="207">
        <f>ROUND(VLOOKUP($G411,factors,+K$318)*$I411,0)</f>
        <v>137902</v>
      </c>
      <c r="M411" s="207">
        <f>ROUND(VLOOKUP($G411,factors,+M$318)*$I411,0)</f>
        <v>55776</v>
      </c>
      <c r="N411" s="207"/>
      <c r="O411" s="207">
        <f>ROUND(VLOOKUP($G411,factors,+O$318)*$I411,0)</f>
        <v>24272</v>
      </c>
      <c r="P411" s="207"/>
      <c r="Q411" s="207">
        <f>ROUND(VLOOKUP($G411,factors,+Q$318)*$I411,0)</f>
        <v>17972</v>
      </c>
      <c r="R411" s="207"/>
      <c r="S411" s="207">
        <f>ROUND(VLOOKUP($G411,factors,+S$318)*$I411,0)</f>
        <v>58211</v>
      </c>
      <c r="T411" s="207"/>
      <c r="U411" s="207">
        <f>ROUND(VLOOKUP($G411,factors,+U$318)*$I411,0)</f>
        <v>2291</v>
      </c>
      <c r="V411" s="207"/>
      <c r="W411" s="207">
        <f>ROUND(VLOOKUP($G411,factors,+W$318)*$I411,0)</f>
        <v>316615</v>
      </c>
      <c r="X411" s="207"/>
      <c r="Y411" s="207">
        <f>ROUND(VLOOKUP($G411,factors,+Y$318)*$I411,0)</f>
        <v>59500</v>
      </c>
      <c r="Z411" s="207"/>
      <c r="AA411" s="207">
        <f>ROUND(VLOOKUP($G411,factors,+AA$318)*$I411,0)</f>
        <v>17041</v>
      </c>
      <c r="AB411" s="207"/>
      <c r="AC411" s="207">
        <f>ROUND(VLOOKUP($G411,factors,+AC$318)*$I411,0)</f>
        <v>17327</v>
      </c>
      <c r="AD411" s="207"/>
      <c r="AE411" s="207">
        <f>ROUND(VLOOKUP($G411,factors,+AE$318)*$I411,0)</f>
        <v>4224</v>
      </c>
      <c r="AF411" s="207"/>
      <c r="AG411" s="207">
        <f>ROUND(VLOOKUP($G411,factors,+AG$318)*$I411,0)</f>
        <v>4869</v>
      </c>
      <c r="AI411" s="208">
        <f t="shared" si="224"/>
        <v>0</v>
      </c>
      <c r="AK411" s="631"/>
    </row>
    <row r="412" spans="1:37" s="112" customFormat="1">
      <c r="A412" s="276"/>
      <c r="B412" s="276"/>
      <c r="C412" s="325"/>
      <c r="D412" s="276"/>
      <c r="E412" s="276"/>
      <c r="F412" s="276"/>
      <c r="G412" s="325"/>
      <c r="H412" s="276"/>
      <c r="I412" s="361">
        <f>+I411+I407</f>
        <v>22196000</v>
      </c>
      <c r="J412" s="276"/>
      <c r="K412" s="327"/>
      <c r="L412" s="276"/>
      <c r="M412" s="327"/>
      <c r="N412" s="327"/>
      <c r="O412" s="327"/>
      <c r="P412" s="327"/>
      <c r="Q412" s="327"/>
      <c r="R412" s="327"/>
      <c r="S412" s="327"/>
      <c r="T412" s="327"/>
      <c r="U412" s="327"/>
      <c r="V412" s="327"/>
      <c r="W412" s="327"/>
      <c r="X412" s="327"/>
      <c r="Y412" s="327"/>
      <c r="Z412" s="327"/>
      <c r="AA412" s="327"/>
      <c r="AB412" s="327"/>
      <c r="AC412" s="327"/>
      <c r="AD412" s="327"/>
      <c r="AE412" s="327"/>
      <c r="AF412" s="327"/>
      <c r="AG412" s="327"/>
      <c r="AH412" s="327"/>
      <c r="AI412" s="362"/>
      <c r="AJ412" s="362"/>
      <c r="AK412" s="634"/>
    </row>
    <row r="413" spans="1:37">
      <c r="E413" s="276"/>
      <c r="F413" s="276"/>
      <c r="G413" s="325"/>
      <c r="H413" s="276"/>
      <c r="I413" s="361"/>
      <c r="AK413" s="631"/>
    </row>
    <row r="414" spans="1:37">
      <c r="F414" s="276"/>
      <c r="G414" s="325"/>
      <c r="H414" s="276"/>
      <c r="I414" s="361">
        <v>22202000</v>
      </c>
      <c r="AK414" s="631"/>
    </row>
    <row r="415" spans="1:37">
      <c r="E415" s="276"/>
      <c r="F415" s="276"/>
      <c r="G415" s="325"/>
      <c r="H415" s="276"/>
      <c r="I415" s="361">
        <f>+I414-I412</f>
        <v>6000</v>
      </c>
      <c r="AK415" s="631"/>
    </row>
    <row r="416" spans="1:37">
      <c r="G416" s="325"/>
      <c r="I416" s="206"/>
      <c r="AK416" s="631"/>
    </row>
    <row r="417" spans="7:37">
      <c r="G417" s="325"/>
      <c r="I417" s="206"/>
      <c r="AK417" s="631"/>
    </row>
    <row r="418" spans="7:37">
      <c r="G418" s="325"/>
      <c r="I418" s="206"/>
      <c r="AK418" s="631"/>
    </row>
    <row r="419" spans="7:37">
      <c r="G419" s="325"/>
      <c r="I419" s="206"/>
      <c r="AK419" s="631"/>
    </row>
    <row r="420" spans="7:37">
      <c r="G420" s="325"/>
      <c r="I420" s="206"/>
      <c r="AK420" s="631"/>
    </row>
    <row r="421" spans="7:37">
      <c r="G421" s="325"/>
      <c r="I421" s="206"/>
      <c r="AK421" s="631"/>
    </row>
    <row r="422" spans="7:37">
      <c r="G422" s="325"/>
      <c r="I422" s="206"/>
      <c r="AK422" s="631"/>
    </row>
    <row r="423" spans="7:37">
      <c r="G423" s="325"/>
      <c r="I423" s="206"/>
      <c r="AK423" s="631"/>
    </row>
    <row r="424" spans="7:37">
      <c r="G424" s="325"/>
      <c r="I424" s="206"/>
      <c r="AK424" s="631"/>
    </row>
    <row r="425" spans="7:37">
      <c r="G425" s="325"/>
      <c r="I425" s="206"/>
      <c r="P425" s="201"/>
      <c r="Q425" s="201"/>
      <c r="AK425" s="631"/>
    </row>
    <row r="426" spans="7:37">
      <c r="G426" s="325"/>
      <c r="I426" s="206"/>
      <c r="O426" s="201"/>
      <c r="P426" s="201"/>
      <c r="Q426" s="201"/>
      <c r="R426" s="201"/>
      <c r="AK426" s="631"/>
    </row>
    <row r="427" spans="7:37">
      <c r="G427" s="325"/>
      <c r="I427" s="206"/>
      <c r="O427" s="201"/>
      <c r="P427" s="201"/>
      <c r="Q427" s="215"/>
      <c r="R427" s="201"/>
      <c r="AK427" s="631"/>
    </row>
    <row r="428" spans="7:37">
      <c r="G428" s="325"/>
      <c r="I428" s="206"/>
      <c r="O428" s="201"/>
      <c r="P428" s="201"/>
      <c r="Q428" s="313"/>
      <c r="R428" s="201"/>
      <c r="AK428" s="631"/>
    </row>
    <row r="429" spans="7:37">
      <c r="G429" s="325"/>
      <c r="I429" s="206"/>
      <c r="O429" s="201"/>
      <c r="P429" s="201"/>
      <c r="Q429" s="201"/>
      <c r="R429" s="201"/>
      <c r="AK429" s="631"/>
    </row>
    <row r="430" spans="7:37">
      <c r="G430" s="325"/>
      <c r="I430" s="206"/>
      <c r="O430" s="201"/>
      <c r="P430" s="201"/>
      <c r="Q430" s="201"/>
      <c r="R430" s="201"/>
      <c r="AK430" s="631"/>
    </row>
    <row r="431" spans="7:37">
      <c r="G431" s="325"/>
      <c r="I431" s="206"/>
      <c r="O431" s="201"/>
      <c r="P431" s="201"/>
      <c r="Q431" s="314"/>
      <c r="R431" s="201"/>
      <c r="AK431" s="631"/>
    </row>
    <row r="432" spans="7:37">
      <c r="G432" s="325"/>
      <c r="I432" s="206"/>
      <c r="O432" s="201"/>
      <c r="P432" s="201"/>
      <c r="Q432" s="201"/>
      <c r="R432" s="201"/>
      <c r="AK432" s="631"/>
    </row>
    <row r="433" spans="7:37">
      <c r="G433" s="325"/>
      <c r="O433" s="201"/>
      <c r="P433" s="201"/>
      <c r="Q433" s="213"/>
      <c r="R433" s="201"/>
      <c r="AE433" s="206"/>
      <c r="AF433" s="206"/>
      <c r="AG433" s="206"/>
      <c r="AK433" s="631"/>
    </row>
    <row r="434" spans="7:37">
      <c r="G434" s="325"/>
      <c r="O434" s="201"/>
      <c r="P434" s="201"/>
      <c r="Q434" s="201"/>
      <c r="R434" s="201"/>
      <c r="AK434" s="631"/>
    </row>
    <row r="435" spans="7:37">
      <c r="G435" s="325"/>
      <c r="O435" s="201"/>
      <c r="P435" s="201"/>
      <c r="Q435" s="213"/>
      <c r="R435" s="201"/>
      <c r="AK435" s="631"/>
    </row>
    <row r="436" spans="7:37">
      <c r="G436" s="325"/>
      <c r="O436" s="201"/>
      <c r="P436" s="201"/>
      <c r="Q436" s="213"/>
      <c r="R436" s="201"/>
      <c r="AK436" s="631"/>
    </row>
    <row r="437" spans="7:37">
      <c r="G437" s="325"/>
      <c r="O437" s="201"/>
      <c r="P437" s="201"/>
      <c r="Q437" s="213"/>
      <c r="R437" s="201"/>
      <c r="AK437" s="631"/>
    </row>
    <row r="438" spans="7:37">
      <c r="G438" s="325"/>
      <c r="O438" s="201"/>
      <c r="P438" s="201"/>
      <c r="Q438" s="201"/>
      <c r="R438" s="201"/>
      <c r="AK438" s="631"/>
    </row>
    <row r="439" spans="7:37">
      <c r="G439" s="325"/>
      <c r="O439" s="201"/>
      <c r="P439" s="201"/>
      <c r="Q439" s="314"/>
      <c r="R439" s="201"/>
      <c r="AK439" s="631"/>
    </row>
    <row r="440" spans="7:37">
      <c r="G440" s="325"/>
      <c r="P440" s="201"/>
      <c r="Q440" s="201"/>
      <c r="AK440" s="631"/>
    </row>
    <row r="441" spans="7:37">
      <c r="G441" s="325"/>
      <c r="Q441" s="216"/>
      <c r="AK441" s="631"/>
    </row>
    <row r="442" spans="7:37">
      <c r="G442" s="325"/>
      <c r="J442" s="201"/>
      <c r="AK442" s="631"/>
    </row>
    <row r="443" spans="7:37">
      <c r="G443" s="325"/>
      <c r="AK443" s="631"/>
    </row>
    <row r="444" spans="7:37">
      <c r="G444" s="325"/>
      <c r="AK444" s="631"/>
    </row>
    <row r="445" spans="7:37">
      <c r="G445" s="325"/>
      <c r="AK445" s="631"/>
    </row>
    <row r="446" spans="7:37">
      <c r="G446" s="325"/>
      <c r="AK446" s="631"/>
    </row>
    <row r="447" spans="7:37">
      <c r="G447" s="325"/>
      <c r="AK447" s="631"/>
    </row>
    <row r="448" spans="7:37">
      <c r="G448" s="325"/>
      <c r="AK448" s="631"/>
    </row>
    <row r="449" spans="7:37">
      <c r="G449" s="325"/>
      <c r="AK449" s="631"/>
    </row>
    <row r="450" spans="7:37">
      <c r="G450" s="325"/>
      <c r="AK450" s="631"/>
    </row>
    <row r="451" spans="7:37">
      <c r="G451" s="325"/>
      <c r="AK451" s="631"/>
    </row>
    <row r="452" spans="7:37">
      <c r="G452" s="325"/>
      <c r="AK452" s="631"/>
    </row>
    <row r="453" spans="7:37">
      <c r="G453" s="325"/>
      <c r="AK453" s="631"/>
    </row>
    <row r="454" spans="7:37" ht="21.75" customHeight="1">
      <c r="G454" s="325"/>
      <c r="AK454" s="631"/>
    </row>
    <row r="455" spans="7:37">
      <c r="G455" s="325"/>
      <c r="AK455" s="631"/>
    </row>
    <row r="456" spans="7:37">
      <c r="G456" s="325"/>
      <c r="AK456" s="631"/>
    </row>
    <row r="457" spans="7:37">
      <c r="G457" s="325"/>
      <c r="AK457" s="631"/>
    </row>
    <row r="458" spans="7:37">
      <c r="G458" s="325"/>
      <c r="AK458" s="631"/>
    </row>
    <row r="459" spans="7:37">
      <c r="G459" s="325"/>
      <c r="AK459" s="631"/>
    </row>
    <row r="460" spans="7:37">
      <c r="G460" s="325"/>
      <c r="AK460" s="631"/>
    </row>
    <row r="461" spans="7:37">
      <c r="G461" s="325"/>
      <c r="AK461" s="631"/>
    </row>
    <row r="462" spans="7:37">
      <c r="G462" s="325"/>
      <c r="I462" s="206"/>
      <c r="AK462" s="631"/>
    </row>
    <row r="463" spans="7:37">
      <c r="G463" s="325"/>
      <c r="I463" s="206"/>
      <c r="AK463" s="631"/>
    </row>
    <row r="464" spans="7:37">
      <c r="G464" s="325"/>
      <c r="I464" s="220"/>
      <c r="AK464" s="631"/>
    </row>
    <row r="465" spans="7:37">
      <c r="G465" s="325"/>
      <c r="I465" s="206"/>
      <c r="AK465" s="631"/>
    </row>
    <row r="466" spans="7:37">
      <c r="G466" s="325"/>
      <c r="I466" s="206"/>
      <c r="AK466" s="631"/>
    </row>
    <row r="467" spans="7:37">
      <c r="G467" s="325"/>
      <c r="I467" s="206"/>
      <c r="AK467" s="631"/>
    </row>
    <row r="468" spans="7:37">
      <c r="G468" s="325"/>
      <c r="I468" s="206"/>
      <c r="AK468" s="631"/>
    </row>
    <row r="469" spans="7:37">
      <c r="G469" s="325"/>
      <c r="I469" s="206"/>
      <c r="AK469" s="631"/>
    </row>
    <row r="470" spans="7:37">
      <c r="G470" s="325"/>
      <c r="I470" s="206"/>
      <c r="AK470" s="631"/>
    </row>
    <row r="471" spans="7:37">
      <c r="G471" s="325"/>
      <c r="I471" s="206"/>
      <c r="AK471" s="631"/>
    </row>
    <row r="472" spans="7:37">
      <c r="G472" s="325"/>
      <c r="I472" s="206"/>
      <c r="AK472" s="631"/>
    </row>
    <row r="473" spans="7:37">
      <c r="G473" s="325"/>
      <c r="I473" s="206"/>
      <c r="AK473" s="631"/>
    </row>
    <row r="474" spans="7:37">
      <c r="G474" s="325"/>
      <c r="I474" s="206"/>
      <c r="AK474" s="631"/>
    </row>
    <row r="475" spans="7:37">
      <c r="G475" s="325"/>
      <c r="I475" s="206"/>
    </row>
    <row r="476" spans="7:37">
      <c r="G476" s="325"/>
      <c r="I476" s="206"/>
    </row>
    <row r="477" spans="7:37">
      <c r="G477" s="325"/>
      <c r="I477" s="206"/>
    </row>
    <row r="478" spans="7:37">
      <c r="G478" s="325"/>
      <c r="I478" s="206"/>
    </row>
    <row r="479" spans="7:37">
      <c r="G479" s="325"/>
      <c r="I479" s="206"/>
    </row>
    <row r="480" spans="7:37">
      <c r="G480" s="325"/>
      <c r="I480" s="206"/>
    </row>
    <row r="481" spans="7:9">
      <c r="G481" s="325"/>
      <c r="I481" s="206"/>
    </row>
    <row r="482" spans="7:9">
      <c r="G482" s="325"/>
      <c r="I482" s="206"/>
    </row>
    <row r="483" spans="7:9">
      <c r="G483" s="325"/>
      <c r="I483" s="206"/>
    </row>
    <row r="484" spans="7:9">
      <c r="G484" s="325"/>
      <c r="I484" s="206"/>
    </row>
    <row r="485" spans="7:9">
      <c r="G485" s="325"/>
      <c r="I485" s="206"/>
    </row>
    <row r="486" spans="7:9">
      <c r="G486" s="325"/>
      <c r="I486" s="206"/>
    </row>
    <row r="487" spans="7:9">
      <c r="G487" s="325"/>
      <c r="I487" s="206"/>
    </row>
    <row r="488" spans="7:9">
      <c r="G488" s="325"/>
      <c r="I488" s="206"/>
    </row>
    <row r="489" spans="7:9">
      <c r="G489" s="325"/>
      <c r="I489" s="206"/>
    </row>
    <row r="490" spans="7:9">
      <c r="G490" s="325"/>
      <c r="I490" s="206"/>
    </row>
    <row r="491" spans="7:9">
      <c r="G491" s="325"/>
      <c r="I491" s="206"/>
    </row>
    <row r="492" spans="7:9">
      <c r="G492" s="325"/>
      <c r="I492" s="206"/>
    </row>
    <row r="493" spans="7:9">
      <c r="G493" s="325"/>
      <c r="I493" s="206"/>
    </row>
    <row r="494" spans="7:9">
      <c r="G494" s="325"/>
      <c r="I494" s="206"/>
    </row>
    <row r="495" spans="7:9">
      <c r="G495" s="325"/>
      <c r="I495" s="206"/>
    </row>
    <row r="496" spans="7:9">
      <c r="G496" s="325"/>
      <c r="I496" s="206"/>
    </row>
    <row r="497" spans="7:9">
      <c r="G497" s="325"/>
      <c r="I497" s="206"/>
    </row>
    <row r="498" spans="7:9">
      <c r="G498" s="325"/>
      <c r="I498" s="206"/>
    </row>
    <row r="499" spans="7:9">
      <c r="G499" s="325"/>
      <c r="I499" s="206"/>
    </row>
    <row r="500" spans="7:9">
      <c r="I500" s="206"/>
    </row>
    <row r="501" spans="7:9">
      <c r="I501" s="206"/>
    </row>
    <row r="502" spans="7:9">
      <c r="I502" s="206"/>
    </row>
    <row r="503" spans="7:9">
      <c r="I503" s="206"/>
    </row>
    <row r="504" spans="7:9">
      <c r="I504" s="206"/>
    </row>
    <row r="505" spans="7:9">
      <c r="I505" s="206"/>
    </row>
    <row r="506" spans="7:9">
      <c r="I506" s="206"/>
    </row>
    <row r="507" spans="7:9">
      <c r="I507" s="206"/>
    </row>
    <row r="508" spans="7:9">
      <c r="I508" s="206"/>
    </row>
    <row r="509" spans="7:9">
      <c r="I509" s="206"/>
    </row>
    <row r="510" spans="7:9">
      <c r="I510" s="206"/>
    </row>
    <row r="511" spans="7:9">
      <c r="I511" s="206"/>
    </row>
    <row r="512" spans="7:9">
      <c r="I512" s="206"/>
    </row>
    <row r="513" spans="9:9">
      <c r="I513" s="206"/>
    </row>
    <row r="514" spans="9:9">
      <c r="I514" s="206"/>
    </row>
    <row r="515" spans="9:9">
      <c r="I515" s="206"/>
    </row>
    <row r="516" spans="9:9">
      <c r="I516" s="206"/>
    </row>
    <row r="517" spans="9:9">
      <c r="I517" s="206"/>
    </row>
    <row r="518" spans="9:9">
      <c r="I518" s="206"/>
    </row>
    <row r="519" spans="9:9">
      <c r="I519" s="206"/>
    </row>
    <row r="520" spans="9:9">
      <c r="I520" s="206"/>
    </row>
    <row r="521" spans="9:9">
      <c r="I521" s="206"/>
    </row>
    <row r="522" spans="9:9">
      <c r="I522" s="206"/>
    </row>
    <row r="523" spans="9:9">
      <c r="I523" s="206"/>
    </row>
    <row r="524" spans="9:9">
      <c r="I524" s="206"/>
    </row>
    <row r="525" spans="9:9">
      <c r="I525" s="206"/>
    </row>
    <row r="526" spans="9:9">
      <c r="I526" s="206"/>
    </row>
    <row r="527" spans="9:9">
      <c r="I527" s="206"/>
    </row>
    <row r="528" spans="9:9">
      <c r="I528" s="206"/>
    </row>
    <row r="529" spans="9:9">
      <c r="I529" s="206"/>
    </row>
    <row r="530" spans="9:9">
      <c r="I530" s="206"/>
    </row>
    <row r="531" spans="9:9">
      <c r="I531" s="206"/>
    </row>
    <row r="532" spans="9:9">
      <c r="I532" s="206"/>
    </row>
    <row r="533" spans="9:9">
      <c r="I533" s="206"/>
    </row>
    <row r="534" spans="9:9">
      <c r="I534" s="206"/>
    </row>
    <row r="535" spans="9:9">
      <c r="I535" s="206"/>
    </row>
    <row r="536" spans="9:9">
      <c r="I536" s="206"/>
    </row>
    <row r="537" spans="9:9">
      <c r="I537" s="206"/>
    </row>
    <row r="538" spans="9:9">
      <c r="I538" s="206"/>
    </row>
    <row r="539" spans="9:9">
      <c r="I539" s="206"/>
    </row>
    <row r="540" spans="9:9">
      <c r="I540" s="206"/>
    </row>
    <row r="541" spans="9:9">
      <c r="I541" s="206"/>
    </row>
    <row r="542" spans="9:9">
      <c r="I542" s="206"/>
    </row>
    <row r="543" spans="9:9">
      <c r="I543" s="206"/>
    </row>
    <row r="544" spans="9:9">
      <c r="I544" s="206"/>
    </row>
    <row r="545" spans="9:9">
      <c r="I545" s="206"/>
    </row>
    <row r="546" spans="9:9">
      <c r="I546" s="206"/>
    </row>
    <row r="547" spans="9:9">
      <c r="I547" s="206"/>
    </row>
    <row r="548" spans="9:9">
      <c r="I548" s="206"/>
    </row>
    <row r="549" spans="9:9">
      <c r="I549" s="206"/>
    </row>
    <row r="550" spans="9:9">
      <c r="I550" s="206"/>
    </row>
    <row r="551" spans="9:9">
      <c r="I551" s="206"/>
    </row>
    <row r="552" spans="9:9">
      <c r="I552" s="206"/>
    </row>
    <row r="553" spans="9:9">
      <c r="I553" s="206"/>
    </row>
    <row r="554" spans="9:9">
      <c r="I554" s="206"/>
    </row>
    <row r="555" spans="9:9">
      <c r="I555" s="206"/>
    </row>
    <row r="556" spans="9:9">
      <c r="I556" s="206"/>
    </row>
    <row r="557" spans="9:9">
      <c r="I557" s="206"/>
    </row>
    <row r="558" spans="9:9">
      <c r="I558" s="206"/>
    </row>
    <row r="559" spans="9:9">
      <c r="I559" s="206"/>
    </row>
    <row r="560" spans="9:9">
      <c r="I560" s="206"/>
    </row>
    <row r="561" spans="9:9">
      <c r="I561" s="206"/>
    </row>
    <row r="562" spans="9:9">
      <c r="I562" s="206"/>
    </row>
    <row r="563" spans="9:9">
      <c r="I563" s="206"/>
    </row>
    <row r="564" spans="9:9">
      <c r="I564" s="206"/>
    </row>
    <row r="565" spans="9:9">
      <c r="I565" s="206"/>
    </row>
    <row r="566" spans="9:9">
      <c r="I566" s="206"/>
    </row>
    <row r="567" spans="9:9">
      <c r="I567" s="206"/>
    </row>
    <row r="568" spans="9:9">
      <c r="I568" s="206"/>
    </row>
    <row r="569" spans="9:9">
      <c r="I569" s="206"/>
    </row>
    <row r="570" spans="9:9">
      <c r="I570" s="206"/>
    </row>
    <row r="571" spans="9:9">
      <c r="I571" s="206"/>
    </row>
    <row r="572" spans="9:9">
      <c r="I572" s="206"/>
    </row>
    <row r="573" spans="9:9">
      <c r="I573" s="206"/>
    </row>
    <row r="574" spans="9:9">
      <c r="I574" s="206"/>
    </row>
    <row r="575" spans="9:9">
      <c r="I575" s="206"/>
    </row>
    <row r="576" spans="9:9">
      <c r="I576" s="206"/>
    </row>
    <row r="577" spans="9:9">
      <c r="I577" s="206"/>
    </row>
    <row r="578" spans="9:9">
      <c r="I578" s="206"/>
    </row>
    <row r="579" spans="9:9">
      <c r="I579" s="206"/>
    </row>
    <row r="580" spans="9:9">
      <c r="I580" s="206"/>
    </row>
    <row r="581" spans="9:9">
      <c r="I581" s="206"/>
    </row>
    <row r="582" spans="9:9">
      <c r="I582" s="206"/>
    </row>
    <row r="583" spans="9:9">
      <c r="I583" s="206"/>
    </row>
    <row r="584" spans="9:9">
      <c r="I584" s="206"/>
    </row>
    <row r="585" spans="9:9">
      <c r="I585" s="206"/>
    </row>
    <row r="586" spans="9:9">
      <c r="I586" s="206"/>
    </row>
    <row r="587" spans="9:9">
      <c r="I587" s="206"/>
    </row>
    <row r="588" spans="9:9">
      <c r="I588" s="206"/>
    </row>
    <row r="589" spans="9:9">
      <c r="I589" s="206"/>
    </row>
    <row r="590" spans="9:9">
      <c r="I590" s="206"/>
    </row>
    <row r="591" spans="9:9">
      <c r="I591" s="206"/>
    </row>
    <row r="592" spans="9:9">
      <c r="I592" s="206"/>
    </row>
    <row r="593" spans="9:9">
      <c r="I593" s="206"/>
    </row>
    <row r="594" spans="9:9">
      <c r="I594" s="206"/>
    </row>
    <row r="595" spans="9:9">
      <c r="I595" s="206"/>
    </row>
    <row r="596" spans="9:9">
      <c r="I596" s="206"/>
    </row>
    <row r="597" spans="9:9">
      <c r="I597" s="206"/>
    </row>
    <row r="598" spans="9:9">
      <c r="I598" s="206"/>
    </row>
    <row r="599" spans="9:9">
      <c r="I599" s="206"/>
    </row>
    <row r="600" spans="9:9">
      <c r="I600" s="206"/>
    </row>
    <row r="601" spans="9:9">
      <c r="I601" s="206"/>
    </row>
    <row r="602" spans="9:9">
      <c r="I602" s="206"/>
    </row>
    <row r="603" spans="9:9">
      <c r="I603" s="206"/>
    </row>
    <row r="604" spans="9:9">
      <c r="I604" s="206"/>
    </row>
    <row r="605" spans="9:9">
      <c r="I605" s="206"/>
    </row>
    <row r="606" spans="9:9">
      <c r="I606" s="206"/>
    </row>
    <row r="607" spans="9:9">
      <c r="I607" s="206"/>
    </row>
    <row r="608" spans="9:9">
      <c r="I608" s="206"/>
    </row>
    <row r="609" spans="9:9">
      <c r="I609" s="206"/>
    </row>
    <row r="610" spans="9:9">
      <c r="I610" s="206"/>
    </row>
    <row r="611" spans="9:9">
      <c r="I611" s="206"/>
    </row>
    <row r="612" spans="9:9">
      <c r="I612" s="206"/>
    </row>
    <row r="613" spans="9:9">
      <c r="I613" s="206"/>
    </row>
    <row r="614" spans="9:9">
      <c r="I614" s="206"/>
    </row>
    <row r="615" spans="9:9">
      <c r="I615" s="206"/>
    </row>
    <row r="616" spans="9:9">
      <c r="I616" s="206"/>
    </row>
    <row r="617" spans="9:9">
      <c r="I617" s="206"/>
    </row>
    <row r="618" spans="9:9">
      <c r="I618" s="206"/>
    </row>
    <row r="619" spans="9:9">
      <c r="I619" s="206"/>
    </row>
    <row r="620" spans="9:9">
      <c r="I620" s="206"/>
    </row>
    <row r="621" spans="9:9">
      <c r="I621" s="206"/>
    </row>
    <row r="622" spans="9:9">
      <c r="I622" s="206"/>
    </row>
    <row r="623" spans="9:9">
      <c r="I623" s="206"/>
    </row>
    <row r="624" spans="9:9">
      <c r="I624" s="206"/>
    </row>
    <row r="625" spans="9:9">
      <c r="I625" s="206"/>
    </row>
    <row r="626" spans="9:9">
      <c r="I626" s="206"/>
    </row>
    <row r="627" spans="9:9">
      <c r="I627" s="206"/>
    </row>
    <row r="628" spans="9:9">
      <c r="I628" s="206"/>
    </row>
    <row r="629" spans="9:9">
      <c r="I629" s="206"/>
    </row>
    <row r="630" spans="9:9">
      <c r="I630" s="206"/>
    </row>
    <row r="631" spans="9:9">
      <c r="I631" s="206"/>
    </row>
    <row r="632" spans="9:9">
      <c r="I632" s="206"/>
    </row>
    <row r="633" spans="9:9">
      <c r="I633" s="206"/>
    </row>
    <row r="634" spans="9:9">
      <c r="I634" s="206"/>
    </row>
    <row r="635" spans="9:9">
      <c r="I635" s="206"/>
    </row>
    <row r="636" spans="9:9">
      <c r="I636" s="206"/>
    </row>
    <row r="637" spans="9:9">
      <c r="I637" s="206"/>
    </row>
    <row r="638" spans="9:9">
      <c r="I638" s="206"/>
    </row>
    <row r="639" spans="9:9">
      <c r="I639" s="206"/>
    </row>
    <row r="640" spans="9:9">
      <c r="I640" s="206"/>
    </row>
    <row r="641" spans="9:9">
      <c r="I641" s="206"/>
    </row>
    <row r="642" spans="9:9">
      <c r="I642" s="206"/>
    </row>
    <row r="643" spans="9:9">
      <c r="I643" s="206"/>
    </row>
    <row r="644" spans="9:9">
      <c r="I644" s="206"/>
    </row>
    <row r="645" spans="9:9">
      <c r="I645" s="206"/>
    </row>
    <row r="646" spans="9:9">
      <c r="I646" s="206"/>
    </row>
    <row r="647" spans="9:9">
      <c r="I647" s="206"/>
    </row>
    <row r="648" spans="9:9">
      <c r="I648" s="206"/>
    </row>
    <row r="649" spans="9:9">
      <c r="I649" s="206"/>
    </row>
    <row r="650" spans="9:9">
      <c r="I650" s="206"/>
    </row>
    <row r="651" spans="9:9">
      <c r="I651" s="206"/>
    </row>
    <row r="652" spans="9:9">
      <c r="I652" s="206"/>
    </row>
    <row r="653" spans="9:9">
      <c r="I653" s="206"/>
    </row>
    <row r="654" spans="9:9">
      <c r="I654" s="206"/>
    </row>
    <row r="655" spans="9:9">
      <c r="I655" s="206"/>
    </row>
    <row r="656" spans="9:9">
      <c r="I656" s="206"/>
    </row>
    <row r="657" spans="9:9">
      <c r="I657" s="206"/>
    </row>
    <row r="658" spans="9:9">
      <c r="I658" s="206"/>
    </row>
    <row r="659" spans="9:9">
      <c r="I659" s="206"/>
    </row>
    <row r="660" spans="9:9">
      <c r="I660" s="206"/>
    </row>
    <row r="661" spans="9:9">
      <c r="I661" s="206"/>
    </row>
    <row r="662" spans="9:9">
      <c r="I662" s="206"/>
    </row>
    <row r="663" spans="9:9">
      <c r="I663" s="206"/>
    </row>
    <row r="664" spans="9:9">
      <c r="I664" s="206"/>
    </row>
    <row r="665" spans="9:9">
      <c r="I665" s="206"/>
    </row>
    <row r="666" spans="9:9">
      <c r="I666" s="206"/>
    </row>
    <row r="667" spans="9:9">
      <c r="I667" s="206"/>
    </row>
    <row r="668" spans="9:9">
      <c r="I668" s="206"/>
    </row>
    <row r="669" spans="9:9">
      <c r="I669" s="206"/>
    </row>
    <row r="670" spans="9:9">
      <c r="I670" s="206"/>
    </row>
    <row r="671" spans="9:9">
      <c r="I671" s="206"/>
    </row>
    <row r="672" spans="9:9">
      <c r="I672" s="206"/>
    </row>
    <row r="673" spans="9:9">
      <c r="I673" s="206"/>
    </row>
    <row r="674" spans="9:9">
      <c r="I674" s="206"/>
    </row>
    <row r="675" spans="9:9">
      <c r="I675" s="206"/>
    </row>
    <row r="676" spans="9:9">
      <c r="I676" s="206"/>
    </row>
    <row r="677" spans="9:9">
      <c r="I677" s="206"/>
    </row>
    <row r="678" spans="9:9">
      <c r="I678" s="206"/>
    </row>
    <row r="679" spans="9:9">
      <c r="I679" s="206"/>
    </row>
    <row r="680" spans="9:9">
      <c r="I680" s="206"/>
    </row>
    <row r="681" spans="9:9">
      <c r="I681" s="206"/>
    </row>
    <row r="682" spans="9:9">
      <c r="I682" s="206"/>
    </row>
    <row r="683" spans="9:9">
      <c r="I683" s="206"/>
    </row>
    <row r="684" spans="9:9">
      <c r="I684" s="206"/>
    </row>
    <row r="685" spans="9:9">
      <c r="I685" s="206"/>
    </row>
    <row r="686" spans="9:9">
      <c r="I686" s="206"/>
    </row>
    <row r="687" spans="9:9">
      <c r="I687" s="206"/>
    </row>
    <row r="688" spans="9:9">
      <c r="I688" s="206"/>
    </row>
    <row r="689" spans="9:9">
      <c r="I689" s="206"/>
    </row>
    <row r="690" spans="9:9">
      <c r="I690" s="206"/>
    </row>
    <row r="691" spans="9:9">
      <c r="I691" s="206"/>
    </row>
    <row r="692" spans="9:9">
      <c r="I692" s="206"/>
    </row>
    <row r="693" spans="9:9">
      <c r="I693" s="206"/>
    </row>
    <row r="694" spans="9:9">
      <c r="I694" s="206"/>
    </row>
    <row r="695" spans="9:9">
      <c r="I695" s="206"/>
    </row>
    <row r="696" spans="9:9">
      <c r="I696" s="206"/>
    </row>
    <row r="697" spans="9:9">
      <c r="I697" s="206"/>
    </row>
    <row r="698" spans="9:9">
      <c r="I698" s="206"/>
    </row>
    <row r="699" spans="9:9">
      <c r="I699" s="206"/>
    </row>
    <row r="700" spans="9:9">
      <c r="I700" s="206"/>
    </row>
    <row r="701" spans="9:9">
      <c r="I701" s="206"/>
    </row>
    <row r="702" spans="9:9">
      <c r="I702" s="206"/>
    </row>
    <row r="703" spans="9:9">
      <c r="I703" s="206"/>
    </row>
    <row r="704" spans="9:9">
      <c r="I704" s="206"/>
    </row>
    <row r="705" spans="9:9">
      <c r="I705" s="206"/>
    </row>
    <row r="706" spans="9:9">
      <c r="I706" s="206"/>
    </row>
    <row r="707" spans="9:9">
      <c r="I707" s="206"/>
    </row>
    <row r="708" spans="9:9">
      <c r="I708" s="206"/>
    </row>
    <row r="709" spans="9:9">
      <c r="I709" s="206"/>
    </row>
    <row r="710" spans="9:9">
      <c r="I710" s="206"/>
    </row>
    <row r="711" spans="9:9">
      <c r="I711" s="206"/>
    </row>
    <row r="712" spans="9:9">
      <c r="I712" s="206"/>
    </row>
    <row r="713" spans="9:9">
      <c r="I713" s="206"/>
    </row>
    <row r="714" spans="9:9">
      <c r="I714" s="206"/>
    </row>
    <row r="715" spans="9:9">
      <c r="I715" s="206"/>
    </row>
    <row r="716" spans="9:9">
      <c r="I716" s="206"/>
    </row>
    <row r="717" spans="9:9">
      <c r="I717" s="206"/>
    </row>
    <row r="718" spans="9:9">
      <c r="I718" s="206"/>
    </row>
    <row r="719" spans="9:9">
      <c r="I719" s="206"/>
    </row>
    <row r="720" spans="9:9">
      <c r="I720" s="206"/>
    </row>
    <row r="721" spans="9:9">
      <c r="I721" s="206"/>
    </row>
    <row r="722" spans="9:9">
      <c r="I722" s="206"/>
    </row>
    <row r="723" spans="9:9">
      <c r="I723" s="206"/>
    </row>
    <row r="724" spans="9:9">
      <c r="I724" s="206"/>
    </row>
    <row r="725" spans="9:9">
      <c r="I725" s="206"/>
    </row>
    <row r="726" spans="9:9">
      <c r="I726" s="206"/>
    </row>
    <row r="727" spans="9:9">
      <c r="I727" s="206"/>
    </row>
    <row r="728" spans="9:9">
      <c r="I728" s="206"/>
    </row>
    <row r="729" spans="9:9">
      <c r="I729" s="206"/>
    </row>
    <row r="730" spans="9:9">
      <c r="I730" s="206"/>
    </row>
    <row r="731" spans="9:9">
      <c r="I731" s="206"/>
    </row>
    <row r="732" spans="9:9">
      <c r="I732" s="206"/>
    </row>
    <row r="733" spans="9:9">
      <c r="I733" s="206"/>
    </row>
    <row r="734" spans="9:9">
      <c r="I734" s="206"/>
    </row>
    <row r="735" spans="9:9">
      <c r="I735" s="206"/>
    </row>
    <row r="736" spans="9:9">
      <c r="I736" s="206"/>
    </row>
    <row r="737" spans="9:9">
      <c r="I737" s="206"/>
    </row>
    <row r="738" spans="9:9">
      <c r="I738" s="206"/>
    </row>
    <row r="739" spans="9:9">
      <c r="I739" s="206"/>
    </row>
    <row r="740" spans="9:9">
      <c r="I740" s="206"/>
    </row>
    <row r="741" spans="9:9">
      <c r="I741" s="206"/>
    </row>
    <row r="742" spans="9:9">
      <c r="I742" s="206"/>
    </row>
    <row r="743" spans="9:9">
      <c r="I743" s="206"/>
    </row>
    <row r="744" spans="9:9">
      <c r="I744" s="206"/>
    </row>
    <row r="745" spans="9:9">
      <c r="I745" s="206"/>
    </row>
    <row r="746" spans="9:9">
      <c r="I746" s="206"/>
    </row>
    <row r="747" spans="9:9">
      <c r="I747" s="206"/>
    </row>
    <row r="748" spans="9:9">
      <c r="I748" s="206"/>
    </row>
    <row r="749" spans="9:9">
      <c r="I749" s="206"/>
    </row>
    <row r="750" spans="9:9">
      <c r="I750" s="206"/>
    </row>
    <row r="751" spans="9:9">
      <c r="I751" s="206"/>
    </row>
    <row r="752" spans="9:9">
      <c r="I752" s="206"/>
    </row>
    <row r="753" spans="9:9">
      <c r="I753" s="206"/>
    </row>
    <row r="754" spans="9:9">
      <c r="I754" s="206"/>
    </row>
    <row r="755" spans="9:9">
      <c r="I755" s="206"/>
    </row>
    <row r="756" spans="9:9">
      <c r="I756" s="206"/>
    </row>
    <row r="757" spans="9:9">
      <c r="I757" s="206"/>
    </row>
    <row r="758" spans="9:9">
      <c r="I758" s="206"/>
    </row>
    <row r="759" spans="9:9">
      <c r="I759" s="206"/>
    </row>
    <row r="760" spans="9:9">
      <c r="I760" s="206"/>
    </row>
    <row r="761" spans="9:9">
      <c r="I761" s="206"/>
    </row>
    <row r="762" spans="9:9">
      <c r="I762" s="206"/>
    </row>
    <row r="763" spans="9:9">
      <c r="I763" s="206"/>
    </row>
    <row r="764" spans="9:9">
      <c r="I764" s="206"/>
    </row>
    <row r="765" spans="9:9">
      <c r="I765" s="206"/>
    </row>
    <row r="766" spans="9:9">
      <c r="I766" s="206"/>
    </row>
    <row r="767" spans="9:9">
      <c r="I767" s="206"/>
    </row>
    <row r="768" spans="9:9">
      <c r="I768" s="206"/>
    </row>
    <row r="769" spans="9:9">
      <c r="I769" s="206"/>
    </row>
    <row r="770" spans="9:9">
      <c r="I770" s="206"/>
    </row>
    <row r="771" spans="9:9">
      <c r="I771" s="206"/>
    </row>
    <row r="772" spans="9:9">
      <c r="I772" s="206"/>
    </row>
    <row r="773" spans="9:9">
      <c r="I773" s="206"/>
    </row>
    <row r="774" spans="9:9">
      <c r="I774" s="206"/>
    </row>
    <row r="775" spans="9:9">
      <c r="I775" s="206"/>
    </row>
    <row r="776" spans="9:9">
      <c r="I776" s="206"/>
    </row>
    <row r="777" spans="9:9">
      <c r="I777" s="206"/>
    </row>
    <row r="778" spans="9:9">
      <c r="I778" s="206"/>
    </row>
    <row r="779" spans="9:9">
      <c r="I779" s="206"/>
    </row>
    <row r="780" spans="9:9">
      <c r="I780" s="206"/>
    </row>
    <row r="781" spans="9:9">
      <c r="I781" s="206"/>
    </row>
    <row r="782" spans="9:9">
      <c r="I782" s="206"/>
    </row>
    <row r="783" spans="9:9">
      <c r="I783" s="206"/>
    </row>
    <row r="784" spans="9:9">
      <c r="I784" s="206"/>
    </row>
    <row r="785" spans="9:9">
      <c r="I785" s="206"/>
    </row>
    <row r="786" spans="9:9">
      <c r="I786" s="206"/>
    </row>
    <row r="787" spans="9:9">
      <c r="I787" s="206"/>
    </row>
    <row r="788" spans="9:9">
      <c r="I788" s="206"/>
    </row>
    <row r="789" spans="9:9">
      <c r="I789" s="206"/>
    </row>
    <row r="790" spans="9:9">
      <c r="I790" s="206"/>
    </row>
    <row r="791" spans="9:9">
      <c r="I791" s="206"/>
    </row>
    <row r="792" spans="9:9">
      <c r="I792" s="206"/>
    </row>
    <row r="793" spans="9:9">
      <c r="I793" s="206"/>
    </row>
    <row r="794" spans="9:9">
      <c r="I794" s="206"/>
    </row>
    <row r="795" spans="9:9">
      <c r="I795" s="206"/>
    </row>
    <row r="796" spans="9:9">
      <c r="I796" s="206"/>
    </row>
    <row r="797" spans="9:9">
      <c r="I797" s="206"/>
    </row>
    <row r="798" spans="9:9">
      <c r="I798" s="206"/>
    </row>
    <row r="799" spans="9:9">
      <c r="I799" s="206"/>
    </row>
    <row r="800" spans="9:9">
      <c r="I800" s="206"/>
    </row>
    <row r="801" spans="9:9">
      <c r="I801" s="206"/>
    </row>
    <row r="802" spans="9:9">
      <c r="I802" s="206"/>
    </row>
    <row r="803" spans="9:9">
      <c r="I803" s="206"/>
    </row>
    <row r="804" spans="9:9">
      <c r="I804" s="206"/>
    </row>
    <row r="805" spans="9:9">
      <c r="I805" s="206"/>
    </row>
    <row r="806" spans="9:9">
      <c r="I806" s="206"/>
    </row>
    <row r="807" spans="9:9">
      <c r="I807" s="206"/>
    </row>
    <row r="808" spans="9:9">
      <c r="I808" s="206"/>
    </row>
    <row r="809" spans="9:9">
      <c r="I809" s="206"/>
    </row>
    <row r="810" spans="9:9">
      <c r="I810" s="206"/>
    </row>
    <row r="811" spans="9:9">
      <c r="I811" s="206"/>
    </row>
    <row r="812" spans="9:9">
      <c r="I812" s="206"/>
    </row>
    <row r="813" spans="9:9">
      <c r="I813" s="206"/>
    </row>
    <row r="814" spans="9:9">
      <c r="I814" s="206"/>
    </row>
    <row r="815" spans="9:9">
      <c r="I815" s="206"/>
    </row>
    <row r="816" spans="9:9">
      <c r="I816" s="206"/>
    </row>
    <row r="817" spans="9:9">
      <c r="I817" s="206"/>
    </row>
    <row r="818" spans="9:9">
      <c r="I818" s="206"/>
    </row>
    <row r="819" spans="9:9">
      <c r="I819" s="206"/>
    </row>
    <row r="820" spans="9:9">
      <c r="I820" s="206"/>
    </row>
    <row r="821" spans="9:9">
      <c r="I821" s="206"/>
    </row>
    <row r="822" spans="9:9">
      <c r="I822" s="206"/>
    </row>
    <row r="823" spans="9:9">
      <c r="I823" s="206"/>
    </row>
    <row r="824" spans="9:9">
      <c r="I824" s="206"/>
    </row>
    <row r="825" spans="9:9">
      <c r="I825" s="206"/>
    </row>
    <row r="826" spans="9:9">
      <c r="I826" s="206"/>
    </row>
    <row r="827" spans="9:9">
      <c r="I827" s="206"/>
    </row>
    <row r="828" spans="9:9">
      <c r="I828" s="206"/>
    </row>
    <row r="829" spans="9:9">
      <c r="I829" s="206"/>
    </row>
    <row r="830" spans="9:9">
      <c r="I830" s="206"/>
    </row>
    <row r="831" spans="9:9">
      <c r="I831" s="206"/>
    </row>
    <row r="832" spans="9:9">
      <c r="I832" s="206"/>
    </row>
    <row r="833" spans="9:9">
      <c r="I833" s="206"/>
    </row>
    <row r="834" spans="9:9">
      <c r="I834" s="206"/>
    </row>
    <row r="835" spans="9:9">
      <c r="I835" s="206"/>
    </row>
    <row r="836" spans="9:9">
      <c r="I836" s="206"/>
    </row>
    <row r="837" spans="9:9">
      <c r="I837" s="206"/>
    </row>
    <row r="838" spans="9:9">
      <c r="I838" s="206"/>
    </row>
    <row r="839" spans="9:9">
      <c r="I839" s="206"/>
    </row>
    <row r="840" spans="9:9">
      <c r="I840" s="206"/>
    </row>
    <row r="841" spans="9:9">
      <c r="I841" s="206"/>
    </row>
    <row r="842" spans="9:9">
      <c r="I842" s="206"/>
    </row>
    <row r="843" spans="9:9">
      <c r="I843" s="206"/>
    </row>
    <row r="844" spans="9:9">
      <c r="I844" s="206"/>
    </row>
    <row r="845" spans="9:9">
      <c r="I845" s="206"/>
    </row>
    <row r="846" spans="9:9">
      <c r="I846" s="206"/>
    </row>
    <row r="847" spans="9:9">
      <c r="I847" s="206"/>
    </row>
    <row r="848" spans="9:9">
      <c r="I848" s="206"/>
    </row>
    <row r="849" spans="9:9">
      <c r="I849" s="206"/>
    </row>
    <row r="850" spans="9:9">
      <c r="I850" s="206"/>
    </row>
    <row r="851" spans="9:9">
      <c r="I851" s="206"/>
    </row>
    <row r="852" spans="9:9">
      <c r="I852" s="206"/>
    </row>
    <row r="853" spans="9:9">
      <c r="I853" s="206"/>
    </row>
    <row r="854" spans="9:9">
      <c r="I854" s="206"/>
    </row>
    <row r="855" spans="9:9">
      <c r="I855" s="206"/>
    </row>
    <row r="856" spans="9:9">
      <c r="I856" s="206"/>
    </row>
    <row r="857" spans="9:9">
      <c r="I857" s="206"/>
    </row>
    <row r="858" spans="9:9">
      <c r="I858" s="206"/>
    </row>
    <row r="859" spans="9:9">
      <c r="I859" s="206"/>
    </row>
    <row r="860" spans="9:9">
      <c r="I860" s="206"/>
    </row>
    <row r="861" spans="9:9">
      <c r="I861" s="206"/>
    </row>
    <row r="862" spans="9:9">
      <c r="I862" s="206"/>
    </row>
    <row r="863" spans="9:9">
      <c r="I863" s="206"/>
    </row>
    <row r="864" spans="9:9">
      <c r="I864" s="206"/>
    </row>
    <row r="865" spans="9:9">
      <c r="I865" s="206"/>
    </row>
    <row r="866" spans="9:9">
      <c r="I866" s="206"/>
    </row>
    <row r="867" spans="9:9">
      <c r="I867" s="206"/>
    </row>
    <row r="868" spans="9:9">
      <c r="I868" s="206"/>
    </row>
    <row r="869" spans="9:9">
      <c r="I869" s="206"/>
    </row>
    <row r="870" spans="9:9">
      <c r="I870" s="206"/>
    </row>
    <row r="871" spans="9:9">
      <c r="I871" s="206"/>
    </row>
    <row r="872" spans="9:9">
      <c r="I872" s="206"/>
    </row>
    <row r="873" spans="9:9">
      <c r="I873" s="206"/>
    </row>
    <row r="874" spans="9:9">
      <c r="I874" s="206"/>
    </row>
    <row r="875" spans="9:9">
      <c r="I875" s="206"/>
    </row>
    <row r="876" spans="9:9">
      <c r="I876" s="206"/>
    </row>
    <row r="877" spans="9:9">
      <c r="I877" s="206"/>
    </row>
    <row r="878" spans="9:9">
      <c r="I878" s="206"/>
    </row>
    <row r="879" spans="9:9">
      <c r="I879" s="206"/>
    </row>
    <row r="880" spans="9:9">
      <c r="I880" s="206"/>
    </row>
    <row r="881" spans="9:9">
      <c r="I881" s="206"/>
    </row>
    <row r="882" spans="9:9">
      <c r="I882" s="206"/>
    </row>
    <row r="883" spans="9:9">
      <c r="I883" s="206"/>
    </row>
    <row r="884" spans="9:9">
      <c r="I884" s="206"/>
    </row>
    <row r="885" spans="9:9">
      <c r="I885" s="206"/>
    </row>
    <row r="886" spans="9:9">
      <c r="I886" s="206"/>
    </row>
    <row r="887" spans="9:9">
      <c r="I887" s="206"/>
    </row>
    <row r="888" spans="9:9">
      <c r="I888" s="206"/>
    </row>
    <row r="889" spans="9:9">
      <c r="I889" s="206"/>
    </row>
    <row r="890" spans="9:9">
      <c r="I890" s="206"/>
    </row>
    <row r="891" spans="9:9">
      <c r="I891" s="206"/>
    </row>
    <row r="892" spans="9:9">
      <c r="I892" s="206"/>
    </row>
    <row r="893" spans="9:9">
      <c r="I893" s="206"/>
    </row>
    <row r="894" spans="9:9">
      <c r="I894" s="206"/>
    </row>
    <row r="895" spans="9:9">
      <c r="I895" s="206"/>
    </row>
    <row r="896" spans="9:9">
      <c r="I896" s="206"/>
    </row>
    <row r="897" spans="9:9">
      <c r="I897" s="206"/>
    </row>
    <row r="898" spans="9:9">
      <c r="I898" s="206"/>
    </row>
    <row r="899" spans="9:9">
      <c r="I899" s="206"/>
    </row>
    <row r="900" spans="9:9">
      <c r="I900" s="206"/>
    </row>
    <row r="901" spans="9:9">
      <c r="I901" s="206"/>
    </row>
    <row r="902" spans="9:9">
      <c r="I902" s="206"/>
    </row>
    <row r="903" spans="9:9">
      <c r="I903" s="206"/>
    </row>
    <row r="904" spans="9:9">
      <c r="I904" s="206"/>
    </row>
    <row r="905" spans="9:9">
      <c r="I905" s="206"/>
    </row>
    <row r="906" spans="9:9">
      <c r="I906" s="206"/>
    </row>
    <row r="907" spans="9:9">
      <c r="I907" s="206"/>
    </row>
    <row r="908" spans="9:9">
      <c r="I908" s="206"/>
    </row>
    <row r="909" spans="9:9">
      <c r="I909" s="206"/>
    </row>
    <row r="910" spans="9:9">
      <c r="I910" s="206"/>
    </row>
    <row r="911" spans="9:9">
      <c r="I911" s="206"/>
    </row>
    <row r="912" spans="9:9">
      <c r="I912" s="206"/>
    </row>
    <row r="913" spans="9:9">
      <c r="I913" s="206"/>
    </row>
    <row r="914" spans="9:9">
      <c r="I914" s="206"/>
    </row>
    <row r="915" spans="9:9">
      <c r="I915" s="206"/>
    </row>
    <row r="916" spans="9:9">
      <c r="I916" s="206"/>
    </row>
    <row r="917" spans="9:9">
      <c r="I917" s="206"/>
    </row>
    <row r="918" spans="9:9">
      <c r="I918" s="206"/>
    </row>
    <row r="919" spans="9:9">
      <c r="I919" s="206"/>
    </row>
    <row r="920" spans="9:9">
      <c r="I920" s="206"/>
    </row>
    <row r="921" spans="9:9">
      <c r="I921" s="206"/>
    </row>
    <row r="922" spans="9:9">
      <c r="I922" s="206"/>
    </row>
    <row r="923" spans="9:9">
      <c r="I923" s="206"/>
    </row>
    <row r="924" spans="9:9">
      <c r="I924" s="206"/>
    </row>
    <row r="925" spans="9:9">
      <c r="I925" s="206"/>
    </row>
    <row r="926" spans="9:9">
      <c r="I926" s="206"/>
    </row>
    <row r="927" spans="9:9">
      <c r="I927" s="206"/>
    </row>
    <row r="928" spans="9:9">
      <c r="I928" s="206"/>
    </row>
    <row r="929" spans="9:9">
      <c r="I929" s="206"/>
    </row>
    <row r="930" spans="9:9">
      <c r="I930" s="206"/>
    </row>
    <row r="931" spans="9:9">
      <c r="I931" s="206"/>
    </row>
    <row r="932" spans="9:9">
      <c r="I932" s="206"/>
    </row>
    <row r="933" spans="9:9">
      <c r="I933" s="206"/>
    </row>
    <row r="934" spans="9:9">
      <c r="I934" s="206"/>
    </row>
    <row r="935" spans="9:9">
      <c r="I935" s="206"/>
    </row>
    <row r="936" spans="9:9">
      <c r="I936" s="206"/>
    </row>
    <row r="937" spans="9:9">
      <c r="I937" s="206"/>
    </row>
    <row r="938" spans="9:9">
      <c r="I938" s="206"/>
    </row>
    <row r="939" spans="9:9">
      <c r="I939" s="206"/>
    </row>
    <row r="940" spans="9:9">
      <c r="I940" s="206"/>
    </row>
    <row r="941" spans="9:9">
      <c r="I941" s="206"/>
    </row>
    <row r="942" spans="9:9">
      <c r="I942" s="206"/>
    </row>
    <row r="943" spans="9:9">
      <c r="I943" s="206"/>
    </row>
    <row r="944" spans="9:9">
      <c r="I944" s="206"/>
    </row>
    <row r="945" spans="9:9">
      <c r="I945" s="206"/>
    </row>
    <row r="946" spans="9:9">
      <c r="I946" s="206"/>
    </row>
    <row r="947" spans="9:9">
      <c r="I947" s="206"/>
    </row>
    <row r="948" spans="9:9">
      <c r="I948" s="206"/>
    </row>
    <row r="949" spans="9:9">
      <c r="I949" s="206"/>
    </row>
    <row r="950" spans="9:9">
      <c r="I950" s="206"/>
    </row>
    <row r="951" spans="9:9">
      <c r="I951" s="206"/>
    </row>
    <row r="952" spans="9:9">
      <c r="I952" s="206"/>
    </row>
    <row r="953" spans="9:9">
      <c r="I953" s="206"/>
    </row>
    <row r="954" spans="9:9">
      <c r="I954" s="206"/>
    </row>
    <row r="955" spans="9:9">
      <c r="I955" s="206"/>
    </row>
    <row r="956" spans="9:9">
      <c r="I956" s="206"/>
    </row>
    <row r="957" spans="9:9">
      <c r="I957" s="206"/>
    </row>
    <row r="958" spans="9:9">
      <c r="I958" s="206"/>
    </row>
    <row r="959" spans="9:9">
      <c r="I959" s="206"/>
    </row>
    <row r="960" spans="9:9">
      <c r="I960" s="206"/>
    </row>
    <row r="961" spans="9:9">
      <c r="I961" s="206"/>
    </row>
    <row r="962" spans="9:9">
      <c r="I962" s="206"/>
    </row>
    <row r="963" spans="9:9">
      <c r="I963" s="206"/>
    </row>
    <row r="964" spans="9:9">
      <c r="I964" s="206"/>
    </row>
    <row r="965" spans="9:9">
      <c r="I965" s="206"/>
    </row>
    <row r="966" spans="9:9">
      <c r="I966" s="206"/>
    </row>
    <row r="967" spans="9:9">
      <c r="I967" s="206"/>
    </row>
    <row r="968" spans="9:9">
      <c r="I968" s="206"/>
    </row>
    <row r="969" spans="9:9">
      <c r="I969" s="206"/>
    </row>
    <row r="970" spans="9:9">
      <c r="I970" s="206"/>
    </row>
    <row r="971" spans="9:9">
      <c r="I971" s="206"/>
    </row>
    <row r="972" spans="9:9">
      <c r="I972" s="206"/>
    </row>
    <row r="973" spans="9:9">
      <c r="I973" s="206"/>
    </row>
    <row r="974" spans="9:9">
      <c r="I974" s="206"/>
    </row>
    <row r="975" spans="9:9">
      <c r="I975" s="206"/>
    </row>
    <row r="976" spans="9:9">
      <c r="I976" s="206"/>
    </row>
    <row r="977" spans="9:9">
      <c r="I977" s="206"/>
    </row>
    <row r="978" spans="9:9">
      <c r="I978" s="206"/>
    </row>
    <row r="979" spans="9:9">
      <c r="I979" s="206"/>
    </row>
    <row r="980" spans="9:9">
      <c r="I980" s="206"/>
    </row>
    <row r="981" spans="9:9">
      <c r="I981" s="206"/>
    </row>
    <row r="982" spans="9:9">
      <c r="I982" s="206"/>
    </row>
    <row r="983" spans="9:9">
      <c r="I983" s="206"/>
    </row>
    <row r="984" spans="9:9">
      <c r="I984" s="206"/>
    </row>
    <row r="985" spans="9:9">
      <c r="I985" s="206"/>
    </row>
    <row r="986" spans="9:9">
      <c r="I986" s="206"/>
    </row>
    <row r="987" spans="9:9">
      <c r="I987" s="206"/>
    </row>
    <row r="988" spans="9:9">
      <c r="I988" s="206"/>
    </row>
    <row r="989" spans="9:9">
      <c r="I989" s="206"/>
    </row>
    <row r="990" spans="9:9">
      <c r="I990" s="206"/>
    </row>
    <row r="991" spans="9:9">
      <c r="I991" s="206"/>
    </row>
    <row r="992" spans="9:9">
      <c r="I992" s="206"/>
    </row>
    <row r="993" spans="9:9">
      <c r="I993" s="206"/>
    </row>
    <row r="994" spans="9:9">
      <c r="I994" s="206"/>
    </row>
    <row r="995" spans="9:9">
      <c r="I995" s="206"/>
    </row>
    <row r="996" spans="9:9">
      <c r="I996" s="206"/>
    </row>
    <row r="997" spans="9:9">
      <c r="I997" s="206"/>
    </row>
    <row r="998" spans="9:9">
      <c r="I998" s="206"/>
    </row>
    <row r="999" spans="9:9">
      <c r="I999" s="206"/>
    </row>
    <row r="1000" spans="9:9">
      <c r="I1000" s="206"/>
    </row>
    <row r="1001" spans="9:9">
      <c r="I1001" s="206"/>
    </row>
    <row r="1002" spans="9:9">
      <c r="I1002" s="206"/>
    </row>
    <row r="1003" spans="9:9">
      <c r="I1003" s="206"/>
    </row>
    <row r="1004" spans="9:9">
      <c r="I1004" s="206"/>
    </row>
    <row r="1005" spans="9:9">
      <c r="I1005" s="206"/>
    </row>
    <row r="1006" spans="9:9">
      <c r="I1006" s="206"/>
    </row>
    <row r="1007" spans="9:9">
      <c r="I1007" s="206"/>
    </row>
    <row r="1008" spans="9:9">
      <c r="I1008" s="206"/>
    </row>
    <row r="1009" spans="9:9">
      <c r="I1009" s="206"/>
    </row>
    <row r="1010" spans="9:9">
      <c r="I1010" s="206"/>
    </row>
    <row r="1011" spans="9:9">
      <c r="I1011" s="206"/>
    </row>
    <row r="1012" spans="9:9">
      <c r="I1012" s="206"/>
    </row>
    <row r="1013" spans="9:9">
      <c r="I1013" s="206"/>
    </row>
    <row r="1014" spans="9:9">
      <c r="I1014" s="206"/>
    </row>
    <row r="1015" spans="9:9">
      <c r="I1015" s="206"/>
    </row>
    <row r="1016" spans="9:9">
      <c r="I1016" s="206"/>
    </row>
    <row r="1017" spans="9:9">
      <c r="I1017" s="206"/>
    </row>
    <row r="1018" spans="9:9">
      <c r="I1018" s="206"/>
    </row>
    <row r="1019" spans="9:9">
      <c r="I1019" s="206"/>
    </row>
    <row r="1020" spans="9:9">
      <c r="I1020" s="206"/>
    </row>
    <row r="1021" spans="9:9">
      <c r="I1021" s="206"/>
    </row>
    <row r="1022" spans="9:9">
      <c r="I1022" s="206"/>
    </row>
    <row r="1023" spans="9:9">
      <c r="I1023" s="206"/>
    </row>
    <row r="1024" spans="9:9">
      <c r="I1024" s="206"/>
    </row>
    <row r="1025" spans="9:9">
      <c r="I1025" s="206"/>
    </row>
    <row r="1026" spans="9:9">
      <c r="I1026" s="206"/>
    </row>
    <row r="1027" spans="9:9">
      <c r="I1027" s="206"/>
    </row>
    <row r="1028" spans="9:9">
      <c r="I1028" s="206"/>
    </row>
    <row r="1029" spans="9:9">
      <c r="I1029" s="206"/>
    </row>
    <row r="1030" spans="9:9">
      <c r="I1030" s="206"/>
    </row>
    <row r="1031" spans="9:9">
      <c r="I1031" s="206"/>
    </row>
    <row r="1032" spans="9:9">
      <c r="I1032" s="206"/>
    </row>
    <row r="1033" spans="9:9">
      <c r="I1033" s="206"/>
    </row>
    <row r="1034" spans="9:9">
      <c r="I1034" s="206"/>
    </row>
    <row r="1035" spans="9:9">
      <c r="I1035" s="206"/>
    </row>
    <row r="1036" spans="9:9">
      <c r="I1036" s="206"/>
    </row>
    <row r="1037" spans="9:9">
      <c r="I1037" s="206"/>
    </row>
    <row r="1038" spans="9:9">
      <c r="I1038" s="206"/>
    </row>
    <row r="1039" spans="9:9">
      <c r="I1039" s="206"/>
    </row>
    <row r="1040" spans="9:9">
      <c r="I1040" s="206"/>
    </row>
    <row r="1041" spans="9:9">
      <c r="I1041" s="206"/>
    </row>
    <row r="1042" spans="9:9">
      <c r="I1042" s="206"/>
    </row>
    <row r="1043" spans="9:9">
      <c r="I1043" s="206"/>
    </row>
    <row r="1044" spans="9:9">
      <c r="I1044" s="206"/>
    </row>
    <row r="1045" spans="9:9">
      <c r="I1045" s="206"/>
    </row>
    <row r="1046" spans="9:9">
      <c r="I1046" s="206"/>
    </row>
    <row r="1047" spans="9:9">
      <c r="I1047" s="206"/>
    </row>
    <row r="1048" spans="9:9">
      <c r="I1048" s="206"/>
    </row>
    <row r="1049" spans="9:9">
      <c r="I1049" s="206"/>
    </row>
    <row r="1050" spans="9:9">
      <c r="I1050" s="206"/>
    </row>
    <row r="1051" spans="9:9">
      <c r="I1051" s="206"/>
    </row>
    <row r="1052" spans="9:9">
      <c r="I1052" s="206"/>
    </row>
    <row r="1053" spans="9:9">
      <c r="I1053" s="206"/>
    </row>
    <row r="1054" spans="9:9">
      <c r="I1054" s="206"/>
    </row>
    <row r="1055" spans="9:9">
      <c r="I1055" s="206"/>
    </row>
    <row r="1056" spans="9:9">
      <c r="I1056" s="206"/>
    </row>
    <row r="1057" spans="9:9">
      <c r="I1057" s="206"/>
    </row>
    <row r="1058" spans="9:9">
      <c r="I1058" s="206"/>
    </row>
    <row r="1059" spans="9:9">
      <c r="I1059" s="206"/>
    </row>
    <row r="1060" spans="9:9">
      <c r="I1060" s="206"/>
    </row>
    <row r="1061" spans="9:9">
      <c r="I1061" s="206"/>
    </row>
    <row r="1062" spans="9:9">
      <c r="I1062" s="206"/>
    </row>
    <row r="1063" spans="9:9">
      <c r="I1063" s="206"/>
    </row>
    <row r="1064" spans="9:9">
      <c r="I1064" s="206"/>
    </row>
    <row r="1065" spans="9:9">
      <c r="I1065" s="206"/>
    </row>
    <row r="1066" spans="9:9">
      <c r="I1066" s="206"/>
    </row>
    <row r="1067" spans="9:9">
      <c r="I1067" s="206"/>
    </row>
    <row r="1068" spans="9:9">
      <c r="I1068" s="206"/>
    </row>
    <row r="1069" spans="9:9">
      <c r="I1069" s="206"/>
    </row>
    <row r="1070" spans="9:9">
      <c r="I1070" s="206"/>
    </row>
    <row r="1071" spans="9:9">
      <c r="I1071" s="206"/>
    </row>
    <row r="1072" spans="9:9">
      <c r="I1072" s="206"/>
    </row>
    <row r="1073" spans="9:9">
      <c r="I1073" s="206"/>
    </row>
    <row r="1074" spans="9:9">
      <c r="I1074" s="206"/>
    </row>
    <row r="1075" spans="9:9">
      <c r="I1075" s="206"/>
    </row>
    <row r="1076" spans="9:9">
      <c r="I1076" s="206"/>
    </row>
    <row r="1077" spans="9:9">
      <c r="I1077" s="206"/>
    </row>
    <row r="1078" spans="9:9">
      <c r="I1078" s="206"/>
    </row>
    <row r="1079" spans="9:9">
      <c r="I1079" s="206"/>
    </row>
    <row r="1080" spans="9:9">
      <c r="I1080" s="206"/>
    </row>
    <row r="1081" spans="9:9">
      <c r="I1081" s="206"/>
    </row>
    <row r="1082" spans="9:9">
      <c r="I1082" s="206"/>
    </row>
    <row r="1083" spans="9:9">
      <c r="I1083" s="206"/>
    </row>
    <row r="1084" spans="9:9">
      <c r="I1084" s="206"/>
    </row>
    <row r="1085" spans="9:9">
      <c r="I1085" s="206"/>
    </row>
    <row r="1086" spans="9:9">
      <c r="I1086" s="206"/>
    </row>
    <row r="1087" spans="9:9">
      <c r="I1087" s="206"/>
    </row>
    <row r="1088" spans="9:9">
      <c r="I1088" s="206"/>
    </row>
    <row r="1089" spans="9:9">
      <c r="I1089" s="206"/>
    </row>
    <row r="1090" spans="9:9">
      <c r="I1090" s="206"/>
    </row>
    <row r="1091" spans="9:9">
      <c r="I1091" s="206"/>
    </row>
    <row r="1092" spans="9:9">
      <c r="I1092" s="206"/>
    </row>
    <row r="1093" spans="9:9">
      <c r="I1093" s="206"/>
    </row>
    <row r="1094" spans="9:9">
      <c r="I1094" s="206"/>
    </row>
    <row r="1095" spans="9:9">
      <c r="I1095" s="206"/>
    </row>
    <row r="1096" spans="9:9">
      <c r="I1096" s="206"/>
    </row>
    <row r="1097" spans="9:9">
      <c r="I1097" s="206"/>
    </row>
    <row r="1098" spans="9:9">
      <c r="I1098" s="206"/>
    </row>
    <row r="1099" spans="9:9">
      <c r="I1099" s="206"/>
    </row>
    <row r="1100" spans="9:9">
      <c r="I1100" s="206"/>
    </row>
    <row r="1101" spans="9:9">
      <c r="I1101" s="206"/>
    </row>
    <row r="1102" spans="9:9">
      <c r="I1102" s="206"/>
    </row>
    <row r="1103" spans="9:9">
      <c r="I1103" s="206"/>
    </row>
    <row r="1104" spans="9:9">
      <c r="I1104" s="206"/>
    </row>
    <row r="1105" spans="9:9">
      <c r="I1105" s="206"/>
    </row>
    <row r="1106" spans="9:9">
      <c r="I1106" s="206"/>
    </row>
    <row r="1107" spans="9:9">
      <c r="I1107" s="206"/>
    </row>
    <row r="1108" spans="9:9">
      <c r="I1108" s="206"/>
    </row>
    <row r="1109" spans="9:9">
      <c r="I1109" s="206"/>
    </row>
    <row r="1110" spans="9:9">
      <c r="I1110" s="206"/>
    </row>
    <row r="1111" spans="9:9">
      <c r="I1111" s="206"/>
    </row>
    <row r="1112" spans="9:9">
      <c r="I1112" s="206"/>
    </row>
    <row r="1113" spans="9:9">
      <c r="I1113" s="206"/>
    </row>
    <row r="1114" spans="9:9">
      <c r="I1114" s="206"/>
    </row>
    <row r="1115" spans="9:9">
      <c r="I1115" s="206"/>
    </row>
    <row r="1116" spans="9:9">
      <c r="I1116" s="206"/>
    </row>
    <row r="1117" spans="9:9">
      <c r="I1117" s="206"/>
    </row>
    <row r="1118" spans="9:9">
      <c r="I1118" s="206"/>
    </row>
    <row r="1119" spans="9:9">
      <c r="I1119" s="206"/>
    </row>
    <row r="1120" spans="9:9">
      <c r="I1120" s="206"/>
    </row>
    <row r="1121" spans="9:9">
      <c r="I1121" s="206"/>
    </row>
    <row r="1122" spans="9:9">
      <c r="I1122" s="206"/>
    </row>
    <row r="1123" spans="9:9">
      <c r="I1123" s="206"/>
    </row>
    <row r="1124" spans="9:9">
      <c r="I1124" s="206"/>
    </row>
    <row r="1125" spans="9:9">
      <c r="I1125" s="206"/>
    </row>
    <row r="1126" spans="9:9">
      <c r="I1126" s="206"/>
    </row>
    <row r="1127" spans="9:9">
      <c r="I1127" s="206"/>
    </row>
    <row r="1128" spans="9:9">
      <c r="I1128" s="206"/>
    </row>
    <row r="1129" spans="9:9">
      <c r="I1129" s="206"/>
    </row>
    <row r="1130" spans="9:9">
      <c r="I1130" s="206"/>
    </row>
    <row r="1131" spans="9:9">
      <c r="I1131" s="206"/>
    </row>
    <row r="1132" spans="9:9">
      <c r="I1132" s="206"/>
    </row>
    <row r="1133" spans="9:9">
      <c r="I1133" s="206"/>
    </row>
    <row r="1134" spans="9:9">
      <c r="I1134" s="206"/>
    </row>
    <row r="1135" spans="9:9">
      <c r="I1135" s="206"/>
    </row>
    <row r="1136" spans="9:9">
      <c r="I1136" s="206"/>
    </row>
    <row r="1137" spans="9:9">
      <c r="I1137" s="206"/>
    </row>
    <row r="1138" spans="9:9">
      <c r="I1138" s="206"/>
    </row>
    <row r="1139" spans="9:9">
      <c r="I1139" s="206"/>
    </row>
    <row r="1140" spans="9:9">
      <c r="I1140" s="206"/>
    </row>
    <row r="1141" spans="9:9">
      <c r="I1141" s="206"/>
    </row>
    <row r="1142" spans="9:9">
      <c r="I1142" s="206"/>
    </row>
    <row r="1143" spans="9:9">
      <c r="I1143" s="206"/>
    </row>
    <row r="1144" spans="9:9">
      <c r="I1144" s="206"/>
    </row>
    <row r="1145" spans="9:9">
      <c r="I1145" s="206"/>
    </row>
    <row r="1146" spans="9:9">
      <c r="I1146" s="206"/>
    </row>
    <row r="1147" spans="9:9">
      <c r="I1147" s="206"/>
    </row>
    <row r="1148" spans="9:9">
      <c r="I1148" s="206"/>
    </row>
    <row r="1149" spans="9:9">
      <c r="I1149" s="206"/>
    </row>
    <row r="1150" spans="9:9">
      <c r="I1150" s="206"/>
    </row>
    <row r="1151" spans="9:9">
      <c r="I1151" s="206"/>
    </row>
    <row r="1152" spans="9:9">
      <c r="I1152" s="206"/>
    </row>
    <row r="1153" spans="9:9">
      <c r="I1153" s="206"/>
    </row>
    <row r="1154" spans="9:9">
      <c r="I1154" s="206"/>
    </row>
    <row r="1155" spans="9:9">
      <c r="I1155" s="206"/>
    </row>
    <row r="1156" spans="9:9">
      <c r="I1156" s="206"/>
    </row>
    <row r="1157" spans="9:9">
      <c r="I1157" s="206"/>
    </row>
    <row r="1158" spans="9:9">
      <c r="I1158" s="206"/>
    </row>
    <row r="1159" spans="9:9">
      <c r="I1159" s="206"/>
    </row>
    <row r="1160" spans="9:9">
      <c r="I1160" s="206"/>
    </row>
    <row r="1161" spans="9:9">
      <c r="I1161" s="206"/>
    </row>
    <row r="1162" spans="9:9">
      <c r="I1162" s="206"/>
    </row>
    <row r="1163" spans="9:9">
      <c r="I1163" s="206"/>
    </row>
    <row r="1164" spans="9:9">
      <c r="I1164" s="206"/>
    </row>
    <row r="1165" spans="9:9">
      <c r="I1165" s="206"/>
    </row>
    <row r="1166" spans="9:9">
      <c r="I1166" s="206"/>
    </row>
    <row r="1167" spans="9:9">
      <c r="I1167" s="206"/>
    </row>
    <row r="1168" spans="9:9">
      <c r="I1168" s="206"/>
    </row>
    <row r="1169" spans="9:9">
      <c r="I1169" s="206"/>
    </row>
    <row r="1170" spans="9:9">
      <c r="I1170" s="206"/>
    </row>
    <row r="1171" spans="9:9">
      <c r="I1171" s="206"/>
    </row>
    <row r="1172" spans="9:9">
      <c r="I1172" s="206"/>
    </row>
    <row r="1173" spans="9:9">
      <c r="I1173" s="206"/>
    </row>
    <row r="1174" spans="9:9">
      <c r="I1174" s="206"/>
    </row>
    <row r="1175" spans="9:9">
      <c r="I1175" s="206"/>
    </row>
    <row r="1176" spans="9:9">
      <c r="I1176" s="206"/>
    </row>
    <row r="1177" spans="9:9">
      <c r="I1177" s="206"/>
    </row>
    <row r="1178" spans="9:9">
      <c r="I1178" s="206"/>
    </row>
    <row r="1179" spans="9:9">
      <c r="I1179" s="206"/>
    </row>
    <row r="1180" spans="9:9">
      <c r="I1180" s="206"/>
    </row>
    <row r="1181" spans="9:9">
      <c r="I1181" s="206"/>
    </row>
    <row r="1182" spans="9:9">
      <c r="I1182" s="206"/>
    </row>
    <row r="1183" spans="9:9">
      <c r="I1183" s="206"/>
    </row>
    <row r="1184" spans="9:9">
      <c r="I1184" s="206"/>
    </row>
    <row r="1185" spans="9:9">
      <c r="I1185" s="206"/>
    </row>
    <row r="1186" spans="9:9">
      <c r="I1186" s="206"/>
    </row>
    <row r="1187" spans="9:9">
      <c r="I1187" s="206"/>
    </row>
    <row r="1188" spans="9:9">
      <c r="I1188" s="206"/>
    </row>
    <row r="1189" spans="9:9">
      <c r="I1189" s="206"/>
    </row>
    <row r="1190" spans="9:9">
      <c r="I1190" s="206"/>
    </row>
    <row r="1191" spans="9:9">
      <c r="I1191" s="206"/>
    </row>
    <row r="1192" spans="9:9">
      <c r="I1192" s="206"/>
    </row>
    <row r="1193" spans="9:9">
      <c r="I1193" s="206"/>
    </row>
    <row r="1194" spans="9:9">
      <c r="I1194" s="206"/>
    </row>
    <row r="1195" spans="9:9">
      <c r="I1195" s="206"/>
    </row>
    <row r="1196" spans="9:9">
      <c r="I1196" s="206"/>
    </row>
    <row r="1197" spans="9:9">
      <c r="I1197" s="206"/>
    </row>
    <row r="1198" spans="9:9">
      <c r="I1198" s="206"/>
    </row>
    <row r="1199" spans="9:9">
      <c r="I1199" s="206"/>
    </row>
    <row r="1200" spans="9:9">
      <c r="I1200" s="206"/>
    </row>
    <row r="1201" spans="9:9">
      <c r="I1201" s="206"/>
    </row>
    <row r="1202" spans="9:9">
      <c r="I1202" s="206"/>
    </row>
    <row r="1203" spans="9:9">
      <c r="I1203" s="206"/>
    </row>
    <row r="1204" spans="9:9">
      <c r="I1204" s="206"/>
    </row>
    <row r="1205" spans="9:9">
      <c r="I1205" s="206"/>
    </row>
    <row r="1206" spans="9:9">
      <c r="I1206" s="206"/>
    </row>
    <row r="1207" spans="9:9">
      <c r="I1207" s="206"/>
    </row>
    <row r="1208" spans="9:9">
      <c r="I1208" s="206"/>
    </row>
    <row r="1209" spans="9:9">
      <c r="I1209" s="206"/>
    </row>
    <row r="1210" spans="9:9">
      <c r="I1210" s="206"/>
    </row>
    <row r="1211" spans="9:9">
      <c r="I1211" s="206"/>
    </row>
    <row r="1212" spans="9:9">
      <c r="I1212" s="206"/>
    </row>
    <row r="1213" spans="9:9">
      <c r="I1213" s="206"/>
    </row>
    <row r="1214" spans="9:9">
      <c r="I1214" s="206"/>
    </row>
    <row r="1215" spans="9:9">
      <c r="I1215" s="206"/>
    </row>
    <row r="1216" spans="9:9">
      <c r="I1216" s="206"/>
    </row>
    <row r="1217" spans="9:9">
      <c r="I1217" s="206"/>
    </row>
    <row r="1218" spans="9:9">
      <c r="I1218" s="206"/>
    </row>
    <row r="1219" spans="9:9">
      <c r="I1219" s="206"/>
    </row>
    <row r="1220" spans="9:9">
      <c r="I1220" s="206"/>
    </row>
    <row r="1221" spans="9:9">
      <c r="I1221" s="206"/>
    </row>
    <row r="1222" spans="9:9">
      <c r="I1222" s="206"/>
    </row>
    <row r="1223" spans="9:9">
      <c r="I1223" s="206"/>
    </row>
    <row r="1224" spans="9:9">
      <c r="I1224" s="206"/>
    </row>
    <row r="1225" spans="9:9">
      <c r="I1225" s="206"/>
    </row>
    <row r="1226" spans="9:9">
      <c r="I1226" s="206"/>
    </row>
    <row r="1227" spans="9:9">
      <c r="I1227" s="206"/>
    </row>
    <row r="1228" spans="9:9">
      <c r="I1228" s="206"/>
    </row>
    <row r="1229" spans="9:9">
      <c r="I1229" s="206"/>
    </row>
    <row r="1230" spans="9:9">
      <c r="I1230" s="206"/>
    </row>
    <row r="1231" spans="9:9">
      <c r="I1231" s="206"/>
    </row>
    <row r="1232" spans="9:9">
      <c r="I1232" s="206"/>
    </row>
    <row r="1233" spans="9:9">
      <c r="I1233" s="206"/>
    </row>
    <row r="1234" spans="9:9">
      <c r="I1234" s="206"/>
    </row>
    <row r="1235" spans="9:9">
      <c r="I1235" s="206"/>
    </row>
    <row r="1236" spans="9:9">
      <c r="I1236" s="206"/>
    </row>
    <row r="1237" spans="9:9">
      <c r="I1237" s="206"/>
    </row>
    <row r="1238" spans="9:9">
      <c r="I1238" s="206"/>
    </row>
    <row r="1239" spans="9:9">
      <c r="I1239" s="206"/>
    </row>
    <row r="1240" spans="9:9">
      <c r="I1240" s="206"/>
    </row>
    <row r="1241" spans="9:9">
      <c r="I1241" s="206"/>
    </row>
    <row r="1242" spans="9:9">
      <c r="I1242" s="206"/>
    </row>
    <row r="1243" spans="9:9">
      <c r="I1243" s="206"/>
    </row>
    <row r="1244" spans="9:9">
      <c r="I1244" s="206"/>
    </row>
    <row r="1245" spans="9:9">
      <c r="I1245" s="206"/>
    </row>
    <row r="1246" spans="9:9">
      <c r="I1246" s="206"/>
    </row>
    <row r="1247" spans="9:9">
      <c r="I1247" s="206"/>
    </row>
    <row r="1248" spans="9:9">
      <c r="I1248" s="206"/>
    </row>
    <row r="1249" spans="9:9">
      <c r="I1249" s="206"/>
    </row>
    <row r="1250" spans="9:9">
      <c r="I1250" s="206"/>
    </row>
    <row r="1251" spans="9:9">
      <c r="I1251" s="206"/>
    </row>
    <row r="1252" spans="9:9">
      <c r="I1252" s="206"/>
    </row>
    <row r="1253" spans="9:9">
      <c r="I1253" s="206"/>
    </row>
    <row r="1254" spans="9:9">
      <c r="I1254" s="206"/>
    </row>
    <row r="1255" spans="9:9">
      <c r="I1255" s="206"/>
    </row>
    <row r="1256" spans="9:9">
      <c r="I1256" s="206"/>
    </row>
    <row r="1257" spans="9:9">
      <c r="I1257" s="206"/>
    </row>
    <row r="1258" spans="9:9">
      <c r="I1258" s="206"/>
    </row>
    <row r="1259" spans="9:9">
      <c r="I1259" s="206"/>
    </row>
    <row r="1260" spans="9:9">
      <c r="I1260" s="206"/>
    </row>
    <row r="1261" spans="9:9">
      <c r="I1261" s="206"/>
    </row>
    <row r="1262" spans="9:9">
      <c r="I1262" s="206"/>
    </row>
    <row r="1263" spans="9:9">
      <c r="I1263" s="206"/>
    </row>
    <row r="1264" spans="9:9">
      <c r="I1264" s="206"/>
    </row>
    <row r="1265" spans="9:9">
      <c r="I1265" s="206"/>
    </row>
    <row r="1266" spans="9:9">
      <c r="I1266" s="206"/>
    </row>
    <row r="1267" spans="9:9">
      <c r="I1267" s="206"/>
    </row>
    <row r="1268" spans="9:9">
      <c r="I1268" s="206"/>
    </row>
    <row r="1269" spans="9:9">
      <c r="I1269" s="206"/>
    </row>
    <row r="1270" spans="9:9">
      <c r="I1270" s="206"/>
    </row>
    <row r="1271" spans="9:9">
      <c r="I1271" s="206"/>
    </row>
    <row r="1272" spans="9:9">
      <c r="I1272" s="206"/>
    </row>
    <row r="1273" spans="9:9">
      <c r="I1273" s="206"/>
    </row>
    <row r="1274" spans="9:9">
      <c r="I1274" s="206"/>
    </row>
    <row r="1275" spans="9:9">
      <c r="I1275" s="206"/>
    </row>
    <row r="1276" spans="9:9">
      <c r="I1276" s="206"/>
    </row>
    <row r="1277" spans="9:9">
      <c r="I1277" s="206"/>
    </row>
    <row r="1278" spans="9:9">
      <c r="I1278" s="206"/>
    </row>
    <row r="1279" spans="9:9">
      <c r="I1279" s="206"/>
    </row>
    <row r="1280" spans="9:9">
      <c r="I1280" s="206"/>
    </row>
    <row r="1281" spans="9:9">
      <c r="I1281" s="206"/>
    </row>
    <row r="1282" spans="9:9">
      <c r="I1282" s="206"/>
    </row>
    <row r="1283" spans="9:9">
      <c r="I1283" s="206"/>
    </row>
    <row r="1284" spans="9:9">
      <c r="I1284" s="206"/>
    </row>
    <row r="1285" spans="9:9">
      <c r="I1285" s="206"/>
    </row>
    <row r="1286" spans="9:9">
      <c r="I1286" s="206"/>
    </row>
    <row r="1287" spans="9:9">
      <c r="I1287" s="206"/>
    </row>
    <row r="1288" spans="9:9">
      <c r="I1288" s="206"/>
    </row>
    <row r="1289" spans="9:9">
      <c r="I1289" s="206"/>
    </row>
    <row r="1290" spans="9:9">
      <c r="I1290" s="206"/>
    </row>
    <row r="1291" spans="9:9">
      <c r="I1291" s="206"/>
    </row>
    <row r="1292" spans="9:9">
      <c r="I1292" s="206"/>
    </row>
    <row r="1293" spans="9:9">
      <c r="I1293" s="206"/>
    </row>
    <row r="1294" spans="9:9">
      <c r="I1294" s="206"/>
    </row>
    <row r="1295" spans="9:9">
      <c r="I1295" s="206"/>
    </row>
    <row r="1296" spans="9:9">
      <c r="I1296" s="206"/>
    </row>
    <row r="1297" spans="9:9">
      <c r="I1297" s="206"/>
    </row>
    <row r="1298" spans="9:9">
      <c r="I1298" s="206"/>
    </row>
    <row r="1299" spans="9:9">
      <c r="I1299" s="206"/>
    </row>
    <row r="1300" spans="9:9">
      <c r="I1300" s="206"/>
    </row>
    <row r="1301" spans="9:9">
      <c r="I1301" s="206"/>
    </row>
    <row r="1302" spans="9:9">
      <c r="I1302" s="206"/>
    </row>
    <row r="1303" spans="9:9">
      <c r="I1303" s="206"/>
    </row>
    <row r="1304" spans="9:9">
      <c r="I1304" s="206"/>
    </row>
    <row r="1305" spans="9:9">
      <c r="I1305" s="206"/>
    </row>
    <row r="1306" spans="9:9">
      <c r="I1306" s="206"/>
    </row>
    <row r="1307" spans="9:9">
      <c r="I1307" s="206"/>
    </row>
    <row r="1308" spans="9:9">
      <c r="I1308" s="206"/>
    </row>
    <row r="1309" spans="9:9">
      <c r="I1309" s="206"/>
    </row>
    <row r="1310" spans="9:9">
      <c r="I1310" s="206"/>
    </row>
    <row r="1311" spans="9:9">
      <c r="I1311" s="206"/>
    </row>
    <row r="1312" spans="9:9">
      <c r="I1312" s="206"/>
    </row>
    <row r="1313" spans="9:9">
      <c r="I1313" s="206"/>
    </row>
    <row r="1314" spans="9:9">
      <c r="I1314" s="206"/>
    </row>
    <row r="1315" spans="9:9">
      <c r="I1315" s="206"/>
    </row>
    <row r="1316" spans="9:9">
      <c r="I1316" s="206"/>
    </row>
    <row r="1317" spans="9:9">
      <c r="I1317" s="206"/>
    </row>
    <row r="1318" spans="9:9">
      <c r="I1318" s="206"/>
    </row>
    <row r="1319" spans="9:9">
      <c r="I1319" s="206"/>
    </row>
    <row r="1320" spans="9:9">
      <c r="I1320" s="206"/>
    </row>
    <row r="1321" spans="9:9">
      <c r="I1321" s="206"/>
    </row>
    <row r="1322" spans="9:9">
      <c r="I1322" s="206"/>
    </row>
    <row r="1323" spans="9:9">
      <c r="I1323" s="206"/>
    </row>
    <row r="1324" spans="9:9">
      <c r="I1324" s="206"/>
    </row>
    <row r="1325" spans="9:9">
      <c r="I1325" s="206"/>
    </row>
    <row r="1326" spans="9:9">
      <c r="I1326" s="206"/>
    </row>
    <row r="1327" spans="9:9">
      <c r="I1327" s="206"/>
    </row>
    <row r="1328" spans="9:9">
      <c r="I1328" s="206"/>
    </row>
    <row r="1329" spans="9:9">
      <c r="I1329" s="206"/>
    </row>
    <row r="1330" spans="9:9">
      <c r="I1330" s="206"/>
    </row>
    <row r="1331" spans="9:9">
      <c r="I1331" s="206"/>
    </row>
    <row r="1332" spans="9:9">
      <c r="I1332" s="206"/>
    </row>
    <row r="1333" spans="9:9">
      <c r="I1333" s="206"/>
    </row>
    <row r="1334" spans="9:9">
      <c r="I1334" s="206"/>
    </row>
    <row r="1335" spans="9:9">
      <c r="I1335" s="206"/>
    </row>
    <row r="1336" spans="9:9">
      <c r="I1336" s="206"/>
    </row>
    <row r="1337" spans="9:9">
      <c r="I1337" s="206"/>
    </row>
    <row r="1338" spans="9:9">
      <c r="I1338" s="206"/>
    </row>
    <row r="1339" spans="9:9">
      <c r="I1339" s="206"/>
    </row>
    <row r="1340" spans="9:9">
      <c r="I1340" s="206"/>
    </row>
    <row r="1341" spans="9:9">
      <c r="I1341" s="206"/>
    </row>
    <row r="1342" spans="9:9">
      <c r="I1342" s="206"/>
    </row>
    <row r="1343" spans="9:9">
      <c r="I1343" s="206"/>
    </row>
    <row r="1344" spans="9:9">
      <c r="I1344" s="206"/>
    </row>
    <row r="1345" spans="9:9">
      <c r="I1345" s="206"/>
    </row>
    <row r="1346" spans="9:9">
      <c r="I1346" s="206"/>
    </row>
    <row r="1347" spans="9:9">
      <c r="I1347" s="206"/>
    </row>
    <row r="1348" spans="9:9">
      <c r="I1348" s="206"/>
    </row>
    <row r="1349" spans="9:9">
      <c r="I1349" s="206"/>
    </row>
    <row r="1350" spans="9:9">
      <c r="I1350" s="206"/>
    </row>
    <row r="1351" spans="9:9">
      <c r="I1351" s="206"/>
    </row>
    <row r="1352" spans="9:9">
      <c r="I1352" s="206"/>
    </row>
    <row r="1353" spans="9:9">
      <c r="I1353" s="206"/>
    </row>
    <row r="1354" spans="9:9">
      <c r="I1354" s="206"/>
    </row>
    <row r="1355" spans="9:9">
      <c r="I1355" s="206"/>
    </row>
    <row r="1356" spans="9:9">
      <c r="I1356" s="206"/>
    </row>
    <row r="1357" spans="9:9">
      <c r="I1357" s="206"/>
    </row>
    <row r="1358" spans="9:9">
      <c r="I1358" s="206"/>
    </row>
    <row r="1359" spans="9:9">
      <c r="I1359" s="206"/>
    </row>
    <row r="1360" spans="9:9">
      <c r="I1360" s="206"/>
    </row>
    <row r="1361" spans="9:9">
      <c r="I1361" s="206"/>
    </row>
    <row r="1362" spans="9:9">
      <c r="I1362" s="206"/>
    </row>
    <row r="1363" spans="9:9">
      <c r="I1363" s="206"/>
    </row>
    <row r="1364" spans="9:9">
      <c r="I1364" s="206"/>
    </row>
    <row r="1365" spans="9:9">
      <c r="I1365" s="206"/>
    </row>
    <row r="1366" spans="9:9">
      <c r="I1366" s="206"/>
    </row>
    <row r="1367" spans="9:9">
      <c r="I1367" s="206"/>
    </row>
    <row r="1368" spans="9:9">
      <c r="I1368" s="206"/>
    </row>
    <row r="1369" spans="9:9">
      <c r="I1369" s="206"/>
    </row>
    <row r="1370" spans="9:9">
      <c r="I1370" s="206"/>
    </row>
    <row r="1371" spans="9:9">
      <c r="I1371" s="206"/>
    </row>
    <row r="1372" spans="9:9">
      <c r="I1372" s="206"/>
    </row>
    <row r="1373" spans="9:9">
      <c r="I1373" s="206"/>
    </row>
    <row r="1374" spans="9:9">
      <c r="I1374" s="206"/>
    </row>
    <row r="1375" spans="9:9">
      <c r="I1375" s="206"/>
    </row>
    <row r="1376" spans="9:9">
      <c r="I1376" s="206"/>
    </row>
    <row r="1377" spans="9:9">
      <c r="I1377" s="206"/>
    </row>
    <row r="1378" spans="9:9">
      <c r="I1378" s="206"/>
    </row>
    <row r="1379" spans="9:9">
      <c r="I1379" s="206"/>
    </row>
    <row r="1380" spans="9:9">
      <c r="I1380" s="206"/>
    </row>
    <row r="1381" spans="9:9">
      <c r="I1381" s="206"/>
    </row>
    <row r="1382" spans="9:9">
      <c r="I1382" s="206"/>
    </row>
    <row r="1383" spans="9:9">
      <c r="I1383" s="206"/>
    </row>
    <row r="1384" spans="9:9">
      <c r="I1384" s="206"/>
    </row>
    <row r="1385" spans="9:9">
      <c r="I1385" s="206"/>
    </row>
    <row r="1386" spans="9:9">
      <c r="I1386" s="206"/>
    </row>
    <row r="1387" spans="9:9">
      <c r="I1387" s="206"/>
    </row>
    <row r="1388" spans="9:9">
      <c r="I1388" s="206"/>
    </row>
    <row r="1389" spans="9:9">
      <c r="I1389" s="206"/>
    </row>
    <row r="1390" spans="9:9">
      <c r="I1390" s="206"/>
    </row>
    <row r="1391" spans="9:9">
      <c r="I1391" s="206"/>
    </row>
    <row r="1392" spans="9:9">
      <c r="I1392" s="206"/>
    </row>
    <row r="1393" spans="9:9">
      <c r="I1393" s="206"/>
    </row>
    <row r="1394" spans="9:9">
      <c r="I1394" s="206"/>
    </row>
    <row r="1395" spans="9:9">
      <c r="I1395" s="206"/>
    </row>
    <row r="1396" spans="9:9">
      <c r="I1396" s="206"/>
    </row>
    <row r="1397" spans="9:9">
      <c r="I1397" s="206"/>
    </row>
    <row r="1398" spans="9:9">
      <c r="I1398" s="206"/>
    </row>
    <row r="1399" spans="9:9">
      <c r="I1399" s="206"/>
    </row>
    <row r="1400" spans="9:9">
      <c r="I1400" s="206"/>
    </row>
    <row r="1401" spans="9:9">
      <c r="I1401" s="206"/>
    </row>
    <row r="1402" spans="9:9">
      <c r="I1402" s="206"/>
    </row>
    <row r="1403" spans="9:9">
      <c r="I1403" s="206"/>
    </row>
    <row r="1404" spans="9:9">
      <c r="I1404" s="206"/>
    </row>
    <row r="1405" spans="9:9">
      <c r="I1405" s="206"/>
    </row>
    <row r="1406" spans="9:9">
      <c r="I1406" s="206"/>
    </row>
    <row r="1407" spans="9:9">
      <c r="I1407" s="206"/>
    </row>
    <row r="1408" spans="9:9">
      <c r="I1408" s="206"/>
    </row>
    <row r="1409" spans="9:9">
      <c r="I1409" s="206"/>
    </row>
    <row r="1410" spans="9:9">
      <c r="I1410" s="206"/>
    </row>
    <row r="1411" spans="9:9">
      <c r="I1411" s="206"/>
    </row>
    <row r="1412" spans="9:9">
      <c r="I1412" s="206"/>
    </row>
    <row r="1413" spans="9:9">
      <c r="I1413" s="206"/>
    </row>
    <row r="1414" spans="9:9">
      <c r="I1414" s="206"/>
    </row>
    <row r="1415" spans="9:9">
      <c r="I1415" s="206"/>
    </row>
    <row r="1416" spans="9:9">
      <c r="I1416" s="206"/>
    </row>
    <row r="1417" spans="9:9">
      <c r="I1417" s="206"/>
    </row>
    <row r="1418" spans="9:9">
      <c r="I1418" s="206"/>
    </row>
    <row r="1419" spans="9:9">
      <c r="I1419" s="206"/>
    </row>
    <row r="1420" spans="9:9">
      <c r="I1420" s="206"/>
    </row>
    <row r="1421" spans="9:9">
      <c r="I1421" s="206"/>
    </row>
    <row r="1422" spans="9:9">
      <c r="I1422" s="206"/>
    </row>
    <row r="1423" spans="9:9">
      <c r="I1423" s="206"/>
    </row>
    <row r="1424" spans="9:9">
      <c r="I1424" s="206"/>
    </row>
    <row r="1425" spans="9:9">
      <c r="I1425" s="206"/>
    </row>
    <row r="1426" spans="9:9">
      <c r="I1426" s="206"/>
    </row>
    <row r="1427" spans="9:9">
      <c r="I1427" s="206"/>
    </row>
    <row r="1428" spans="9:9">
      <c r="I1428" s="206"/>
    </row>
    <row r="1429" spans="9:9">
      <c r="I1429" s="206"/>
    </row>
    <row r="1430" spans="9:9">
      <c r="I1430" s="206"/>
    </row>
    <row r="1431" spans="9:9">
      <c r="I1431" s="206"/>
    </row>
    <row r="1432" spans="9:9">
      <c r="I1432" s="206"/>
    </row>
    <row r="1433" spans="9:9">
      <c r="I1433" s="206"/>
    </row>
    <row r="1434" spans="9:9">
      <c r="I1434" s="206"/>
    </row>
    <row r="1435" spans="9:9">
      <c r="I1435" s="206"/>
    </row>
    <row r="1436" spans="9:9">
      <c r="I1436" s="206"/>
    </row>
    <row r="1437" spans="9:9">
      <c r="I1437" s="206"/>
    </row>
    <row r="1438" spans="9:9">
      <c r="I1438" s="206"/>
    </row>
    <row r="1439" spans="9:9">
      <c r="I1439" s="206"/>
    </row>
    <row r="1440" spans="9:9">
      <c r="I1440" s="206"/>
    </row>
    <row r="1441" spans="9:9">
      <c r="I1441" s="206"/>
    </row>
    <row r="1442" spans="9:9">
      <c r="I1442" s="206"/>
    </row>
    <row r="1443" spans="9:9">
      <c r="I1443" s="206"/>
    </row>
    <row r="1444" spans="9:9">
      <c r="I1444" s="206"/>
    </row>
    <row r="1445" spans="9:9">
      <c r="I1445" s="206"/>
    </row>
    <row r="1446" spans="9:9">
      <c r="I1446" s="206"/>
    </row>
    <row r="1447" spans="9:9">
      <c r="I1447" s="206"/>
    </row>
    <row r="1448" spans="9:9">
      <c r="I1448" s="206"/>
    </row>
    <row r="1449" spans="9:9">
      <c r="I1449" s="206"/>
    </row>
    <row r="1450" spans="9:9">
      <c r="I1450" s="206"/>
    </row>
    <row r="1451" spans="9:9">
      <c r="I1451" s="206"/>
    </row>
    <row r="1452" spans="9:9">
      <c r="I1452" s="206"/>
    </row>
    <row r="1453" spans="9:9">
      <c r="I1453" s="206"/>
    </row>
    <row r="1454" spans="9:9">
      <c r="I1454" s="206"/>
    </row>
    <row r="1455" spans="9:9">
      <c r="I1455" s="206"/>
    </row>
    <row r="1456" spans="9:9">
      <c r="I1456" s="206"/>
    </row>
    <row r="1457" spans="9:9">
      <c r="I1457" s="206"/>
    </row>
    <row r="1458" spans="9:9">
      <c r="I1458" s="206"/>
    </row>
    <row r="1459" spans="9:9">
      <c r="I1459" s="206"/>
    </row>
    <row r="1460" spans="9:9">
      <c r="I1460" s="206"/>
    </row>
    <row r="1461" spans="9:9">
      <c r="I1461" s="206"/>
    </row>
    <row r="1462" spans="9:9">
      <c r="I1462" s="206"/>
    </row>
    <row r="1463" spans="9:9">
      <c r="I1463" s="206"/>
    </row>
    <row r="1464" spans="9:9">
      <c r="I1464" s="206"/>
    </row>
    <row r="1465" spans="9:9">
      <c r="I1465" s="206"/>
    </row>
    <row r="1466" spans="9:9">
      <c r="I1466" s="206"/>
    </row>
    <row r="1467" spans="9:9">
      <c r="I1467" s="206"/>
    </row>
    <row r="1468" spans="9:9">
      <c r="I1468" s="206"/>
    </row>
    <row r="1469" spans="9:9">
      <c r="I1469" s="206"/>
    </row>
    <row r="1470" spans="9:9">
      <c r="I1470" s="206"/>
    </row>
    <row r="1471" spans="9:9">
      <c r="I1471" s="206"/>
    </row>
    <row r="1472" spans="9:9">
      <c r="I1472" s="206"/>
    </row>
    <row r="1473" spans="9:9">
      <c r="I1473" s="206"/>
    </row>
    <row r="1474" spans="9:9">
      <c r="I1474" s="206"/>
    </row>
    <row r="1475" spans="9:9">
      <c r="I1475" s="206"/>
    </row>
    <row r="1476" spans="9:9">
      <c r="I1476" s="206"/>
    </row>
    <row r="1477" spans="9:9">
      <c r="I1477" s="206"/>
    </row>
    <row r="1478" spans="9:9">
      <c r="I1478" s="206"/>
    </row>
    <row r="1479" spans="9:9">
      <c r="I1479" s="206"/>
    </row>
    <row r="1480" spans="9:9">
      <c r="I1480" s="206"/>
    </row>
    <row r="1481" spans="9:9">
      <c r="I1481" s="206"/>
    </row>
    <row r="1482" spans="9:9">
      <c r="I1482" s="206"/>
    </row>
    <row r="1483" spans="9:9">
      <c r="I1483" s="206"/>
    </row>
    <row r="1484" spans="9:9">
      <c r="I1484" s="206"/>
    </row>
    <row r="1485" spans="9:9">
      <c r="I1485" s="206"/>
    </row>
    <row r="1486" spans="9:9">
      <c r="I1486" s="206"/>
    </row>
    <row r="1487" spans="9:9">
      <c r="I1487" s="206"/>
    </row>
    <row r="1488" spans="9:9">
      <c r="I1488" s="206"/>
    </row>
    <row r="1489" spans="9:9">
      <c r="I1489" s="206"/>
    </row>
    <row r="1490" spans="9:9">
      <c r="I1490" s="206"/>
    </row>
    <row r="1491" spans="9:9">
      <c r="I1491" s="206"/>
    </row>
    <row r="1492" spans="9:9">
      <c r="I1492" s="206"/>
    </row>
    <row r="1493" spans="9:9">
      <c r="I1493" s="206"/>
    </row>
    <row r="1494" spans="9:9">
      <c r="I1494" s="206"/>
    </row>
    <row r="1495" spans="9:9">
      <c r="I1495" s="206"/>
    </row>
    <row r="1496" spans="9:9">
      <c r="I1496" s="206"/>
    </row>
    <row r="1497" spans="9:9">
      <c r="I1497" s="206"/>
    </row>
    <row r="1498" spans="9:9">
      <c r="I1498" s="206"/>
    </row>
    <row r="1499" spans="9:9">
      <c r="I1499" s="206"/>
    </row>
    <row r="1500" spans="9:9">
      <c r="I1500" s="206"/>
    </row>
    <row r="1501" spans="9:9">
      <c r="I1501" s="206"/>
    </row>
    <row r="1502" spans="9:9">
      <c r="I1502" s="206"/>
    </row>
    <row r="1503" spans="9:9">
      <c r="I1503" s="206"/>
    </row>
    <row r="1504" spans="9:9">
      <c r="I1504" s="206"/>
    </row>
    <row r="1505" spans="9:9">
      <c r="I1505" s="206"/>
    </row>
    <row r="1506" spans="9:9">
      <c r="I1506" s="206"/>
    </row>
    <row r="1507" spans="9:9">
      <c r="I1507" s="206"/>
    </row>
    <row r="1508" spans="9:9">
      <c r="I1508" s="206"/>
    </row>
    <row r="1509" spans="9:9">
      <c r="I1509" s="206"/>
    </row>
    <row r="1510" spans="9:9">
      <c r="I1510" s="206"/>
    </row>
    <row r="1511" spans="9:9">
      <c r="I1511" s="206"/>
    </row>
    <row r="1512" spans="9:9">
      <c r="I1512" s="206"/>
    </row>
    <row r="1513" spans="9:9">
      <c r="I1513" s="206"/>
    </row>
    <row r="1514" spans="9:9">
      <c r="I1514" s="206"/>
    </row>
    <row r="1515" spans="9:9">
      <c r="I1515" s="206"/>
    </row>
    <row r="1516" spans="9:9">
      <c r="I1516" s="206"/>
    </row>
    <row r="1517" spans="9:9">
      <c r="I1517" s="206"/>
    </row>
    <row r="1518" spans="9:9">
      <c r="I1518" s="206"/>
    </row>
    <row r="1519" spans="9:9">
      <c r="I1519" s="206"/>
    </row>
    <row r="1520" spans="9:9">
      <c r="I1520" s="206"/>
    </row>
    <row r="1521" spans="9:9">
      <c r="I1521" s="206"/>
    </row>
    <row r="1522" spans="9:9">
      <c r="I1522" s="206"/>
    </row>
    <row r="1523" spans="9:9">
      <c r="I1523" s="206"/>
    </row>
    <row r="1524" spans="9:9">
      <c r="I1524" s="206"/>
    </row>
    <row r="1525" spans="9:9">
      <c r="I1525" s="206"/>
    </row>
    <row r="1526" spans="9:9">
      <c r="I1526" s="206"/>
    </row>
    <row r="1527" spans="9:9">
      <c r="I1527" s="206"/>
    </row>
    <row r="1528" spans="9:9">
      <c r="I1528" s="206"/>
    </row>
    <row r="1529" spans="9:9">
      <c r="I1529" s="206"/>
    </row>
    <row r="1530" spans="9:9">
      <c r="I1530" s="206"/>
    </row>
    <row r="1531" spans="9:9">
      <c r="I1531" s="206"/>
    </row>
    <row r="1532" spans="9:9">
      <c r="I1532" s="206"/>
    </row>
    <row r="1533" spans="9:9">
      <c r="I1533" s="206"/>
    </row>
    <row r="1534" spans="9:9">
      <c r="I1534" s="206"/>
    </row>
    <row r="1535" spans="9:9">
      <c r="I1535" s="206"/>
    </row>
    <row r="1536" spans="9:9">
      <c r="I1536" s="206"/>
    </row>
    <row r="1537" spans="9:9">
      <c r="I1537" s="206"/>
    </row>
    <row r="1538" spans="9:9">
      <c r="I1538" s="206"/>
    </row>
    <row r="1539" spans="9:9">
      <c r="I1539" s="206"/>
    </row>
    <row r="1540" spans="9:9">
      <c r="I1540" s="206"/>
    </row>
    <row r="1541" spans="9:9">
      <c r="I1541" s="206"/>
    </row>
    <row r="1542" spans="9:9">
      <c r="I1542" s="206"/>
    </row>
    <row r="1543" spans="9:9">
      <c r="I1543" s="206"/>
    </row>
    <row r="1544" spans="9:9">
      <c r="I1544" s="206"/>
    </row>
    <row r="1545" spans="9:9">
      <c r="I1545" s="206"/>
    </row>
    <row r="1546" spans="9:9">
      <c r="I1546" s="206"/>
    </row>
    <row r="1547" spans="9:9">
      <c r="I1547" s="206"/>
    </row>
    <row r="1548" spans="9:9">
      <c r="I1548" s="206"/>
    </row>
    <row r="1549" spans="9:9">
      <c r="I1549" s="206"/>
    </row>
    <row r="1550" spans="9:9">
      <c r="I1550" s="206"/>
    </row>
    <row r="1551" spans="9:9">
      <c r="I1551" s="206"/>
    </row>
    <row r="1552" spans="9:9">
      <c r="I1552" s="206"/>
    </row>
    <row r="1553" spans="9:9">
      <c r="I1553" s="206"/>
    </row>
    <row r="1554" spans="9:9">
      <c r="I1554" s="206"/>
    </row>
    <row r="1555" spans="9:9">
      <c r="I1555" s="206"/>
    </row>
    <row r="1556" spans="9:9">
      <c r="I1556" s="206"/>
    </row>
    <row r="1557" spans="9:9">
      <c r="I1557" s="206"/>
    </row>
    <row r="1558" spans="9:9">
      <c r="I1558" s="206"/>
    </row>
    <row r="1559" spans="9:9">
      <c r="I1559" s="206"/>
    </row>
    <row r="1560" spans="9:9">
      <c r="I1560" s="206"/>
    </row>
    <row r="1561" spans="9:9">
      <c r="I1561" s="206"/>
    </row>
    <row r="1562" spans="9:9">
      <c r="I1562" s="206"/>
    </row>
    <row r="1563" spans="9:9">
      <c r="I1563" s="206"/>
    </row>
    <row r="1564" spans="9:9">
      <c r="I1564" s="206"/>
    </row>
    <row r="1565" spans="9:9">
      <c r="I1565" s="206"/>
    </row>
    <row r="1566" spans="9:9">
      <c r="I1566" s="206"/>
    </row>
    <row r="1567" spans="9:9">
      <c r="I1567" s="206"/>
    </row>
    <row r="1568" spans="9:9">
      <c r="I1568" s="206"/>
    </row>
    <row r="1569" spans="9:9">
      <c r="I1569" s="206"/>
    </row>
    <row r="1570" spans="9:9">
      <c r="I1570" s="206"/>
    </row>
    <row r="1571" spans="9:9">
      <c r="I1571" s="206"/>
    </row>
    <row r="1572" spans="9:9">
      <c r="I1572" s="206"/>
    </row>
    <row r="1573" spans="9:9">
      <c r="I1573" s="206"/>
    </row>
    <row r="1574" spans="9:9">
      <c r="I1574" s="206"/>
    </row>
    <row r="1575" spans="9:9">
      <c r="I1575" s="206"/>
    </row>
    <row r="1576" spans="9:9">
      <c r="I1576" s="206"/>
    </row>
    <row r="1577" spans="9:9">
      <c r="I1577" s="206"/>
    </row>
    <row r="1578" spans="9:9">
      <c r="I1578" s="206"/>
    </row>
    <row r="1579" spans="9:9">
      <c r="I1579" s="206"/>
    </row>
    <row r="1580" spans="9:9">
      <c r="I1580" s="206"/>
    </row>
    <row r="1581" spans="9:9">
      <c r="I1581" s="206"/>
    </row>
    <row r="1582" spans="9:9">
      <c r="I1582" s="206"/>
    </row>
    <row r="1583" spans="9:9">
      <c r="I1583" s="206"/>
    </row>
    <row r="1584" spans="9:9">
      <c r="I1584" s="206"/>
    </row>
    <row r="1585" spans="9:9">
      <c r="I1585" s="206"/>
    </row>
    <row r="1586" spans="9:9">
      <c r="I1586" s="206"/>
    </row>
    <row r="1587" spans="9:9">
      <c r="I1587" s="206"/>
    </row>
    <row r="1588" spans="9:9">
      <c r="I1588" s="206"/>
    </row>
    <row r="1589" spans="9:9">
      <c r="I1589" s="206"/>
    </row>
    <row r="1590" spans="9:9">
      <c r="I1590" s="206"/>
    </row>
    <row r="1591" spans="9:9">
      <c r="I1591" s="206"/>
    </row>
    <row r="1592" spans="9:9">
      <c r="I1592" s="206"/>
    </row>
    <row r="1593" spans="9:9">
      <c r="I1593" s="206"/>
    </row>
    <row r="1594" spans="9:9">
      <c r="I1594" s="206"/>
    </row>
    <row r="1595" spans="9:9">
      <c r="I1595" s="206"/>
    </row>
    <row r="1596" spans="9:9">
      <c r="I1596" s="206"/>
    </row>
    <row r="1597" spans="9:9">
      <c r="I1597" s="206"/>
    </row>
    <row r="1598" spans="9:9">
      <c r="I1598" s="206"/>
    </row>
    <row r="1599" spans="9:9">
      <c r="I1599" s="206"/>
    </row>
    <row r="1600" spans="9:9">
      <c r="I1600" s="206"/>
    </row>
    <row r="1601" spans="9:9">
      <c r="I1601" s="206"/>
    </row>
    <row r="1602" spans="9:9">
      <c r="I1602" s="206"/>
    </row>
    <row r="1603" spans="9:9">
      <c r="I1603" s="206"/>
    </row>
    <row r="1604" spans="9:9">
      <c r="I1604" s="206"/>
    </row>
    <row r="1605" spans="9:9">
      <c r="I1605" s="206"/>
    </row>
    <row r="1606" spans="9:9">
      <c r="I1606" s="206"/>
    </row>
    <row r="1607" spans="9:9">
      <c r="I1607" s="206"/>
    </row>
    <row r="1608" spans="9:9">
      <c r="I1608" s="206"/>
    </row>
    <row r="1609" spans="9:9">
      <c r="I1609" s="206"/>
    </row>
    <row r="1610" spans="9:9">
      <c r="I1610" s="206"/>
    </row>
    <row r="1611" spans="9:9">
      <c r="I1611" s="206"/>
    </row>
    <row r="1612" spans="9:9">
      <c r="I1612" s="206"/>
    </row>
    <row r="1613" spans="9:9">
      <c r="I1613" s="206"/>
    </row>
    <row r="1614" spans="9:9">
      <c r="I1614" s="206"/>
    </row>
    <row r="1615" spans="9:9">
      <c r="I1615" s="206"/>
    </row>
    <row r="1616" spans="9:9">
      <c r="I1616" s="206"/>
    </row>
    <row r="1617" spans="9:9">
      <c r="I1617" s="206"/>
    </row>
    <row r="1618" spans="9:9">
      <c r="I1618" s="206"/>
    </row>
    <row r="1619" spans="9:9">
      <c r="I1619" s="206"/>
    </row>
    <row r="1620" spans="9:9">
      <c r="I1620" s="206"/>
    </row>
    <row r="1621" spans="9:9">
      <c r="I1621" s="206"/>
    </row>
    <row r="1622" spans="9:9">
      <c r="I1622" s="206"/>
    </row>
    <row r="1623" spans="9:9">
      <c r="I1623" s="206"/>
    </row>
    <row r="1624" spans="9:9">
      <c r="I1624" s="206"/>
    </row>
    <row r="1625" spans="9:9">
      <c r="I1625" s="206"/>
    </row>
    <row r="1626" spans="9:9">
      <c r="I1626" s="206"/>
    </row>
    <row r="1627" spans="9:9">
      <c r="I1627" s="206"/>
    </row>
    <row r="1628" spans="9:9">
      <c r="I1628" s="206"/>
    </row>
    <row r="1629" spans="9:9">
      <c r="I1629" s="206"/>
    </row>
    <row r="1630" spans="9:9">
      <c r="I1630" s="206"/>
    </row>
    <row r="1631" spans="9:9">
      <c r="I1631" s="206"/>
    </row>
    <row r="1632" spans="9:9">
      <c r="I1632" s="206"/>
    </row>
    <row r="1633" spans="9:9">
      <c r="I1633" s="206"/>
    </row>
    <row r="1634" spans="9:9">
      <c r="I1634" s="206"/>
    </row>
    <row r="1635" spans="9:9">
      <c r="I1635" s="206"/>
    </row>
    <row r="1636" spans="9:9">
      <c r="I1636" s="206"/>
    </row>
    <row r="1637" spans="9:9">
      <c r="I1637" s="206"/>
    </row>
    <row r="1638" spans="9:9">
      <c r="I1638" s="206"/>
    </row>
    <row r="1639" spans="9:9">
      <c r="I1639" s="206"/>
    </row>
    <row r="1640" spans="9:9">
      <c r="I1640" s="206"/>
    </row>
    <row r="1641" spans="9:9">
      <c r="I1641" s="206"/>
    </row>
    <row r="1642" spans="9:9">
      <c r="I1642" s="206"/>
    </row>
    <row r="1643" spans="9:9">
      <c r="I1643" s="206"/>
    </row>
    <row r="1644" spans="9:9">
      <c r="I1644" s="206"/>
    </row>
    <row r="1645" spans="9:9">
      <c r="I1645" s="206"/>
    </row>
    <row r="1646" spans="9:9">
      <c r="I1646" s="206"/>
    </row>
    <row r="1647" spans="9:9">
      <c r="I1647" s="206"/>
    </row>
    <row r="1648" spans="9:9">
      <c r="I1648" s="206"/>
    </row>
    <row r="1649" spans="9:9">
      <c r="I1649" s="206"/>
    </row>
    <row r="1650" spans="9:9">
      <c r="I1650" s="206"/>
    </row>
    <row r="1651" spans="9:9">
      <c r="I1651" s="206"/>
    </row>
    <row r="1652" spans="9:9">
      <c r="I1652" s="206"/>
    </row>
    <row r="1653" spans="9:9">
      <c r="I1653" s="206"/>
    </row>
    <row r="1654" spans="9:9">
      <c r="I1654" s="206"/>
    </row>
    <row r="1655" spans="9:9">
      <c r="I1655" s="206"/>
    </row>
    <row r="1656" spans="9:9">
      <c r="I1656" s="206"/>
    </row>
    <row r="1657" spans="9:9">
      <c r="I1657" s="206"/>
    </row>
    <row r="1658" spans="9:9">
      <c r="I1658" s="206"/>
    </row>
    <row r="1659" spans="9:9">
      <c r="I1659" s="206"/>
    </row>
    <row r="1660" spans="9:9">
      <c r="I1660" s="206"/>
    </row>
    <row r="1661" spans="9:9">
      <c r="I1661" s="206"/>
    </row>
    <row r="1662" spans="9:9">
      <c r="I1662" s="206"/>
    </row>
    <row r="1663" spans="9:9">
      <c r="I1663" s="206"/>
    </row>
    <row r="1664" spans="9:9">
      <c r="I1664" s="206"/>
    </row>
    <row r="1665" spans="9:9">
      <c r="I1665" s="206"/>
    </row>
    <row r="1666" spans="9:9">
      <c r="I1666" s="206"/>
    </row>
    <row r="1667" spans="9:9">
      <c r="I1667" s="206"/>
    </row>
    <row r="1668" spans="9:9">
      <c r="I1668" s="206"/>
    </row>
    <row r="1669" spans="9:9">
      <c r="I1669" s="206"/>
    </row>
    <row r="1670" spans="9:9">
      <c r="I1670" s="206"/>
    </row>
    <row r="1671" spans="9:9">
      <c r="I1671" s="206"/>
    </row>
    <row r="1672" spans="9:9">
      <c r="I1672" s="206"/>
    </row>
    <row r="1673" spans="9:9">
      <c r="I1673" s="206"/>
    </row>
    <row r="1674" spans="9:9">
      <c r="I1674" s="206"/>
    </row>
    <row r="1675" spans="9:9">
      <c r="I1675" s="206"/>
    </row>
    <row r="1676" spans="9:9">
      <c r="I1676" s="206"/>
    </row>
    <row r="1677" spans="9:9">
      <c r="I1677" s="206"/>
    </row>
    <row r="1678" spans="9:9">
      <c r="I1678" s="206"/>
    </row>
    <row r="1679" spans="9:9">
      <c r="I1679" s="206"/>
    </row>
    <row r="1680" spans="9:9">
      <c r="I1680" s="206"/>
    </row>
    <row r="1681" spans="9:9">
      <c r="I1681" s="206"/>
    </row>
    <row r="1682" spans="9:9">
      <c r="I1682" s="206"/>
    </row>
    <row r="1683" spans="9:9">
      <c r="I1683" s="206"/>
    </row>
    <row r="1684" spans="9:9">
      <c r="I1684" s="206"/>
    </row>
    <row r="1685" spans="9:9">
      <c r="I1685" s="206"/>
    </row>
    <row r="1686" spans="9:9">
      <c r="I1686" s="206"/>
    </row>
    <row r="1687" spans="9:9">
      <c r="I1687" s="206"/>
    </row>
    <row r="1688" spans="9:9">
      <c r="I1688" s="206"/>
    </row>
    <row r="1689" spans="9:9">
      <c r="I1689" s="206"/>
    </row>
    <row r="1690" spans="9:9">
      <c r="I1690" s="206"/>
    </row>
    <row r="1691" spans="9:9">
      <c r="I1691" s="206"/>
    </row>
    <row r="1692" spans="9:9">
      <c r="I1692" s="206"/>
    </row>
    <row r="1693" spans="9:9">
      <c r="I1693" s="206"/>
    </row>
    <row r="1694" spans="9:9">
      <c r="I1694" s="206"/>
    </row>
    <row r="1695" spans="9:9">
      <c r="I1695" s="206"/>
    </row>
    <row r="1696" spans="9:9">
      <c r="I1696" s="206"/>
    </row>
    <row r="1697" spans="9:9">
      <c r="I1697" s="206"/>
    </row>
    <row r="1698" spans="9:9">
      <c r="I1698" s="206"/>
    </row>
    <row r="1699" spans="9:9">
      <c r="I1699" s="206"/>
    </row>
    <row r="1700" spans="9:9">
      <c r="I1700" s="206"/>
    </row>
    <row r="1701" spans="9:9">
      <c r="I1701" s="206"/>
    </row>
    <row r="1702" spans="9:9">
      <c r="I1702" s="206"/>
    </row>
    <row r="1703" spans="9:9">
      <c r="I1703" s="206"/>
    </row>
    <row r="1704" spans="9:9">
      <c r="I1704" s="206"/>
    </row>
    <row r="1705" spans="9:9">
      <c r="I1705" s="206"/>
    </row>
    <row r="1706" spans="9:9">
      <c r="I1706" s="206"/>
    </row>
    <row r="1707" spans="9:9">
      <c r="I1707" s="206"/>
    </row>
    <row r="1708" spans="9:9">
      <c r="I1708" s="206"/>
    </row>
    <row r="1709" spans="9:9">
      <c r="I1709" s="206"/>
    </row>
    <row r="1710" spans="9:9">
      <c r="I1710" s="206"/>
    </row>
    <row r="1711" spans="9:9">
      <c r="I1711" s="206"/>
    </row>
    <row r="1712" spans="9:9">
      <c r="I1712" s="206"/>
    </row>
    <row r="1713" spans="9:9">
      <c r="I1713" s="206"/>
    </row>
    <row r="1714" spans="9:9">
      <c r="I1714" s="206"/>
    </row>
    <row r="1715" spans="9:9">
      <c r="I1715" s="206"/>
    </row>
    <row r="1716" spans="9:9">
      <c r="I1716" s="206"/>
    </row>
    <row r="1717" spans="9:9">
      <c r="I1717" s="206"/>
    </row>
    <row r="1718" spans="9:9">
      <c r="I1718" s="206"/>
    </row>
    <row r="1719" spans="9:9">
      <c r="I1719" s="206"/>
    </row>
    <row r="1720" spans="9:9">
      <c r="I1720" s="206"/>
    </row>
    <row r="1721" spans="9:9">
      <c r="I1721" s="206"/>
    </row>
    <row r="1722" spans="9:9">
      <c r="I1722" s="206"/>
    </row>
    <row r="1723" spans="9:9">
      <c r="I1723" s="206"/>
    </row>
    <row r="1724" spans="9:9">
      <c r="I1724" s="206"/>
    </row>
    <row r="1725" spans="9:9">
      <c r="I1725" s="206"/>
    </row>
    <row r="1726" spans="9:9">
      <c r="I1726" s="206"/>
    </row>
    <row r="1727" spans="9:9">
      <c r="I1727" s="206"/>
    </row>
    <row r="1728" spans="9:9">
      <c r="I1728" s="206"/>
    </row>
    <row r="1729" spans="9:9">
      <c r="I1729" s="206"/>
    </row>
    <row r="1730" spans="9:9">
      <c r="I1730" s="206"/>
    </row>
    <row r="1731" spans="9:9">
      <c r="I1731" s="206"/>
    </row>
    <row r="1732" spans="9:9">
      <c r="I1732" s="206"/>
    </row>
    <row r="1733" spans="9:9">
      <c r="I1733" s="206"/>
    </row>
    <row r="1734" spans="9:9">
      <c r="I1734" s="206"/>
    </row>
    <row r="1735" spans="9:9">
      <c r="I1735" s="206"/>
    </row>
    <row r="1736" spans="9:9">
      <c r="I1736" s="206"/>
    </row>
    <row r="1737" spans="9:9">
      <c r="I1737" s="206"/>
    </row>
    <row r="1738" spans="9:9">
      <c r="I1738" s="206"/>
    </row>
    <row r="1739" spans="9:9">
      <c r="I1739" s="206"/>
    </row>
    <row r="1740" spans="9:9">
      <c r="I1740" s="206"/>
    </row>
    <row r="1741" spans="9:9">
      <c r="I1741" s="206"/>
    </row>
    <row r="1742" spans="9:9">
      <c r="I1742" s="206"/>
    </row>
    <row r="1743" spans="9:9">
      <c r="I1743" s="206"/>
    </row>
    <row r="1744" spans="9:9">
      <c r="I1744" s="206"/>
    </row>
    <row r="1745" spans="9:9">
      <c r="I1745" s="206"/>
    </row>
    <row r="1746" spans="9:9">
      <c r="I1746" s="206"/>
    </row>
    <row r="1747" spans="9:9">
      <c r="I1747" s="206"/>
    </row>
    <row r="1748" spans="9:9">
      <c r="I1748" s="206"/>
    </row>
    <row r="1749" spans="9:9">
      <c r="I1749" s="206"/>
    </row>
    <row r="1750" spans="9:9">
      <c r="I1750" s="206"/>
    </row>
    <row r="1751" spans="9:9">
      <c r="I1751" s="206"/>
    </row>
    <row r="1752" spans="9:9">
      <c r="I1752" s="206"/>
    </row>
    <row r="1753" spans="9:9">
      <c r="I1753" s="206"/>
    </row>
    <row r="1754" spans="9:9">
      <c r="I1754" s="206"/>
    </row>
    <row r="1755" spans="9:9">
      <c r="I1755" s="206"/>
    </row>
    <row r="1756" spans="9:9">
      <c r="I1756" s="206"/>
    </row>
    <row r="1757" spans="9:9">
      <c r="I1757" s="206"/>
    </row>
    <row r="1758" spans="9:9">
      <c r="I1758" s="206"/>
    </row>
    <row r="1759" spans="9:9">
      <c r="I1759" s="206"/>
    </row>
    <row r="1760" spans="9:9">
      <c r="I1760" s="206"/>
    </row>
    <row r="1761" spans="9:9">
      <c r="I1761" s="206"/>
    </row>
    <row r="1762" spans="9:9">
      <c r="I1762" s="206"/>
    </row>
    <row r="1763" spans="9:9">
      <c r="I1763" s="206"/>
    </row>
    <row r="1764" spans="9:9">
      <c r="I1764" s="206"/>
    </row>
    <row r="1765" spans="9:9">
      <c r="I1765" s="206"/>
    </row>
    <row r="1766" spans="9:9">
      <c r="I1766" s="206"/>
    </row>
    <row r="1767" spans="9:9">
      <c r="I1767" s="206"/>
    </row>
    <row r="1768" spans="9:9">
      <c r="I1768" s="206"/>
    </row>
    <row r="1769" spans="9:9">
      <c r="I1769" s="206"/>
    </row>
    <row r="1770" spans="9:9">
      <c r="I1770" s="206"/>
    </row>
    <row r="1771" spans="9:9">
      <c r="I1771" s="206"/>
    </row>
    <row r="1772" spans="9:9">
      <c r="I1772" s="206"/>
    </row>
    <row r="1773" spans="9:9">
      <c r="I1773" s="206"/>
    </row>
    <row r="1774" spans="9:9">
      <c r="I1774" s="206"/>
    </row>
    <row r="1775" spans="9:9">
      <c r="I1775" s="206"/>
    </row>
    <row r="1776" spans="9:9">
      <c r="I1776" s="206"/>
    </row>
    <row r="1777" spans="9:9">
      <c r="I1777" s="206"/>
    </row>
    <row r="1778" spans="9:9">
      <c r="I1778" s="206"/>
    </row>
    <row r="1779" spans="9:9">
      <c r="I1779" s="206"/>
    </row>
    <row r="1780" spans="9:9">
      <c r="I1780" s="206"/>
    </row>
    <row r="1781" spans="9:9">
      <c r="I1781" s="206"/>
    </row>
    <row r="1782" spans="9:9">
      <c r="I1782" s="206"/>
    </row>
    <row r="1783" spans="9:9">
      <c r="I1783" s="206"/>
    </row>
    <row r="1784" spans="9:9">
      <c r="I1784" s="206"/>
    </row>
    <row r="1785" spans="9:9">
      <c r="I1785" s="206"/>
    </row>
    <row r="1786" spans="9:9">
      <c r="I1786" s="206"/>
    </row>
    <row r="1787" spans="9:9">
      <c r="I1787" s="206"/>
    </row>
    <row r="1788" spans="9:9">
      <c r="I1788" s="206"/>
    </row>
    <row r="1789" spans="9:9">
      <c r="I1789" s="206"/>
    </row>
    <row r="1790" spans="9:9">
      <c r="I1790" s="206"/>
    </row>
    <row r="1791" spans="9:9">
      <c r="I1791" s="206"/>
    </row>
    <row r="1792" spans="9:9">
      <c r="I1792" s="206"/>
    </row>
    <row r="1793" spans="9:9">
      <c r="I1793" s="206"/>
    </row>
    <row r="1794" spans="9:9">
      <c r="I1794" s="206"/>
    </row>
    <row r="1795" spans="9:9">
      <c r="I1795" s="206"/>
    </row>
    <row r="1796" spans="9:9">
      <c r="I1796" s="206"/>
    </row>
    <row r="1797" spans="9:9">
      <c r="I1797" s="206"/>
    </row>
    <row r="1798" spans="9:9">
      <c r="I1798" s="206"/>
    </row>
    <row r="1799" spans="9:9">
      <c r="I1799" s="206"/>
    </row>
    <row r="1800" spans="9:9">
      <c r="I1800" s="206"/>
    </row>
    <row r="1801" spans="9:9">
      <c r="I1801" s="206"/>
    </row>
    <row r="1802" spans="9:9">
      <c r="I1802" s="206"/>
    </row>
    <row r="1803" spans="9:9">
      <c r="I1803" s="206"/>
    </row>
    <row r="1804" spans="9:9">
      <c r="I1804" s="206"/>
    </row>
    <row r="1805" spans="9:9">
      <c r="I1805" s="206"/>
    </row>
    <row r="1806" spans="9:9">
      <c r="I1806" s="206"/>
    </row>
    <row r="1807" spans="9:9">
      <c r="I1807" s="206"/>
    </row>
    <row r="1808" spans="9:9">
      <c r="I1808" s="206"/>
    </row>
    <row r="1809" spans="9:9">
      <c r="I1809" s="206"/>
    </row>
    <row r="1810" spans="9:9">
      <c r="I1810" s="206"/>
    </row>
    <row r="1811" spans="9:9">
      <c r="I1811" s="206"/>
    </row>
    <row r="1812" spans="9:9">
      <c r="I1812" s="206"/>
    </row>
    <row r="1813" spans="9:9">
      <c r="I1813" s="206"/>
    </row>
    <row r="1814" spans="9:9">
      <c r="I1814" s="206"/>
    </row>
    <row r="1815" spans="9:9">
      <c r="I1815" s="206"/>
    </row>
    <row r="1816" spans="9:9">
      <c r="I1816" s="206"/>
    </row>
    <row r="1817" spans="9:9">
      <c r="I1817" s="206"/>
    </row>
    <row r="1818" spans="9:9">
      <c r="I1818" s="206"/>
    </row>
    <row r="1819" spans="9:9">
      <c r="I1819" s="206"/>
    </row>
    <row r="1820" spans="9:9">
      <c r="I1820" s="206"/>
    </row>
    <row r="1821" spans="9:9">
      <c r="I1821" s="206"/>
    </row>
    <row r="1822" spans="9:9">
      <c r="I1822" s="206"/>
    </row>
    <row r="1823" spans="9:9">
      <c r="I1823" s="206"/>
    </row>
    <row r="1824" spans="9:9">
      <c r="I1824" s="206"/>
    </row>
    <row r="1825" spans="9:9">
      <c r="I1825" s="206"/>
    </row>
    <row r="1826" spans="9:9">
      <c r="I1826" s="206"/>
    </row>
    <row r="1827" spans="9:9">
      <c r="I1827" s="206"/>
    </row>
    <row r="1828" spans="9:9">
      <c r="I1828" s="206"/>
    </row>
    <row r="1829" spans="9:9">
      <c r="I1829" s="206"/>
    </row>
    <row r="1830" spans="9:9">
      <c r="I1830" s="206"/>
    </row>
    <row r="1831" spans="9:9">
      <c r="I1831" s="206"/>
    </row>
    <row r="1832" spans="9:9">
      <c r="I1832" s="206"/>
    </row>
    <row r="1833" spans="9:9">
      <c r="I1833" s="206"/>
    </row>
    <row r="1834" spans="9:9">
      <c r="I1834" s="206"/>
    </row>
    <row r="1835" spans="9:9">
      <c r="I1835" s="206"/>
    </row>
    <row r="1836" spans="9:9">
      <c r="I1836" s="206"/>
    </row>
    <row r="1837" spans="9:9">
      <c r="I1837" s="206"/>
    </row>
    <row r="1838" spans="9:9">
      <c r="I1838" s="206"/>
    </row>
    <row r="1839" spans="9:9">
      <c r="I1839" s="206"/>
    </row>
    <row r="1840" spans="9:9">
      <c r="I1840" s="206"/>
    </row>
    <row r="1841" spans="9:9">
      <c r="I1841" s="206"/>
    </row>
    <row r="1842" spans="9:9">
      <c r="I1842" s="206"/>
    </row>
    <row r="1843" spans="9:9">
      <c r="I1843" s="206"/>
    </row>
    <row r="1844" spans="9:9">
      <c r="I1844" s="206"/>
    </row>
    <row r="1845" spans="9:9">
      <c r="I1845" s="206"/>
    </row>
    <row r="1846" spans="9:9">
      <c r="I1846" s="206"/>
    </row>
    <row r="1847" spans="9:9">
      <c r="I1847" s="206"/>
    </row>
    <row r="1848" spans="9:9">
      <c r="I1848" s="206"/>
    </row>
    <row r="1849" spans="9:9">
      <c r="I1849" s="206"/>
    </row>
    <row r="1850" spans="9:9">
      <c r="I1850" s="206"/>
    </row>
    <row r="1851" spans="9:9">
      <c r="I1851" s="206"/>
    </row>
    <row r="1852" spans="9:9">
      <c r="I1852" s="206"/>
    </row>
    <row r="1853" spans="9:9">
      <c r="I1853" s="206"/>
    </row>
    <row r="1854" spans="9:9">
      <c r="I1854" s="206"/>
    </row>
    <row r="1855" spans="9:9">
      <c r="I1855" s="206"/>
    </row>
    <row r="1856" spans="9:9">
      <c r="I1856" s="206"/>
    </row>
    <row r="1857" spans="9:9">
      <c r="I1857" s="206"/>
    </row>
    <row r="1858" spans="9:9">
      <c r="I1858" s="206"/>
    </row>
    <row r="1859" spans="9:9">
      <c r="I1859" s="206"/>
    </row>
    <row r="1860" spans="9:9">
      <c r="I1860" s="206"/>
    </row>
    <row r="1861" spans="9:9">
      <c r="I1861" s="206"/>
    </row>
    <row r="1862" spans="9:9">
      <c r="I1862" s="206"/>
    </row>
    <row r="1863" spans="9:9">
      <c r="I1863" s="206"/>
    </row>
    <row r="1864" spans="9:9">
      <c r="I1864" s="206"/>
    </row>
    <row r="1865" spans="9:9">
      <c r="I1865" s="206"/>
    </row>
    <row r="1866" spans="9:9">
      <c r="I1866" s="206"/>
    </row>
    <row r="1867" spans="9:9">
      <c r="I1867" s="206"/>
    </row>
    <row r="1868" spans="9:9">
      <c r="I1868" s="206"/>
    </row>
    <row r="1869" spans="9:9">
      <c r="I1869" s="206"/>
    </row>
    <row r="1870" spans="9:9">
      <c r="I1870" s="206"/>
    </row>
    <row r="1871" spans="9:9">
      <c r="I1871" s="206"/>
    </row>
    <row r="1872" spans="9:9">
      <c r="I1872" s="206"/>
    </row>
    <row r="1873" spans="9:9">
      <c r="I1873" s="206"/>
    </row>
    <row r="1874" spans="9:9">
      <c r="I1874" s="206"/>
    </row>
    <row r="1875" spans="9:9">
      <c r="I1875" s="206"/>
    </row>
    <row r="1876" spans="9:9">
      <c r="I1876" s="206"/>
    </row>
    <row r="1877" spans="9:9">
      <c r="I1877" s="206"/>
    </row>
    <row r="1878" spans="9:9">
      <c r="I1878" s="206"/>
    </row>
    <row r="1879" spans="9:9">
      <c r="I1879" s="206"/>
    </row>
    <row r="1880" spans="9:9">
      <c r="I1880" s="206"/>
    </row>
    <row r="1881" spans="9:9">
      <c r="I1881" s="206"/>
    </row>
    <row r="1882" spans="9:9">
      <c r="I1882" s="206"/>
    </row>
    <row r="1883" spans="9:9">
      <c r="I1883" s="206"/>
    </row>
    <row r="1884" spans="9:9">
      <c r="I1884" s="206"/>
    </row>
    <row r="1885" spans="9:9">
      <c r="I1885" s="206"/>
    </row>
    <row r="1886" spans="9:9">
      <c r="I1886" s="206"/>
    </row>
    <row r="1887" spans="9:9">
      <c r="I1887" s="206"/>
    </row>
    <row r="1888" spans="9:9">
      <c r="I1888" s="206"/>
    </row>
    <row r="1889" spans="9:9">
      <c r="I1889" s="206"/>
    </row>
    <row r="1890" spans="9:9">
      <c r="I1890" s="206"/>
    </row>
    <row r="1891" spans="9:9">
      <c r="I1891" s="206"/>
    </row>
    <row r="1892" spans="9:9">
      <c r="I1892" s="206"/>
    </row>
    <row r="1893" spans="9:9">
      <c r="I1893" s="206"/>
    </row>
    <row r="1894" spans="9:9">
      <c r="I1894" s="206"/>
    </row>
    <row r="1895" spans="9:9">
      <c r="I1895" s="206"/>
    </row>
    <row r="1896" spans="9:9">
      <c r="I1896" s="206"/>
    </row>
    <row r="1897" spans="9:9">
      <c r="I1897" s="206"/>
    </row>
    <row r="1898" spans="9:9">
      <c r="I1898" s="206"/>
    </row>
    <row r="1899" spans="9:9">
      <c r="I1899" s="206"/>
    </row>
    <row r="1900" spans="9:9">
      <c r="I1900" s="206"/>
    </row>
    <row r="1901" spans="9:9">
      <c r="I1901" s="206"/>
    </row>
    <row r="1902" spans="9:9">
      <c r="I1902" s="206"/>
    </row>
    <row r="1903" spans="9:9">
      <c r="I1903" s="206"/>
    </row>
    <row r="1904" spans="9:9">
      <c r="I1904" s="206"/>
    </row>
    <row r="1905" spans="9:9">
      <c r="I1905" s="206"/>
    </row>
    <row r="1906" spans="9:9">
      <c r="I1906" s="206"/>
    </row>
    <row r="1907" spans="9:9">
      <c r="I1907" s="206"/>
    </row>
    <row r="1908" spans="9:9">
      <c r="I1908" s="206"/>
    </row>
    <row r="1909" spans="9:9">
      <c r="I1909" s="206"/>
    </row>
    <row r="1910" spans="9:9">
      <c r="I1910" s="206"/>
    </row>
    <row r="1911" spans="9:9">
      <c r="I1911" s="206"/>
    </row>
    <row r="1912" spans="9:9">
      <c r="I1912" s="206"/>
    </row>
    <row r="1913" spans="9:9">
      <c r="I1913" s="206"/>
    </row>
    <row r="1914" spans="9:9">
      <c r="I1914" s="206"/>
    </row>
    <row r="1915" spans="9:9">
      <c r="I1915" s="206"/>
    </row>
    <row r="1916" spans="9:9">
      <c r="I1916" s="206"/>
    </row>
    <row r="1917" spans="9:9">
      <c r="I1917" s="206"/>
    </row>
    <row r="1918" spans="9:9">
      <c r="I1918" s="206"/>
    </row>
    <row r="1919" spans="9:9">
      <c r="I1919" s="206"/>
    </row>
    <row r="1920" spans="9:9">
      <c r="I1920" s="206"/>
    </row>
    <row r="1921" spans="9:9">
      <c r="I1921" s="206"/>
    </row>
    <row r="1922" spans="9:9">
      <c r="I1922" s="206"/>
    </row>
    <row r="1923" spans="9:9">
      <c r="I1923" s="206"/>
    </row>
    <row r="1924" spans="9:9">
      <c r="I1924" s="206"/>
    </row>
    <row r="1925" spans="9:9">
      <c r="I1925" s="206"/>
    </row>
    <row r="1926" spans="9:9">
      <c r="I1926" s="206"/>
    </row>
    <row r="1927" spans="9:9">
      <c r="I1927" s="206"/>
    </row>
    <row r="1928" spans="9:9">
      <c r="I1928" s="206"/>
    </row>
    <row r="1929" spans="9:9">
      <c r="I1929" s="206"/>
    </row>
    <row r="1930" spans="9:9">
      <c r="I1930" s="206"/>
    </row>
    <row r="1931" spans="9:9">
      <c r="I1931" s="206"/>
    </row>
    <row r="1932" spans="9:9">
      <c r="I1932" s="206"/>
    </row>
    <row r="1933" spans="9:9">
      <c r="I1933" s="206"/>
    </row>
    <row r="1934" spans="9:9">
      <c r="I1934" s="206"/>
    </row>
    <row r="1935" spans="9:9">
      <c r="I1935" s="206"/>
    </row>
    <row r="1936" spans="9:9">
      <c r="I1936" s="206"/>
    </row>
    <row r="1937" spans="9:9">
      <c r="I1937" s="206"/>
    </row>
    <row r="1938" spans="9:9">
      <c r="I1938" s="206"/>
    </row>
    <row r="1939" spans="9:9">
      <c r="I1939" s="206"/>
    </row>
    <row r="1940" spans="9:9">
      <c r="I1940" s="206"/>
    </row>
    <row r="1941" spans="9:9">
      <c r="I1941" s="206"/>
    </row>
    <row r="1942" spans="9:9">
      <c r="I1942" s="206"/>
    </row>
    <row r="1943" spans="9:9">
      <c r="I1943" s="206"/>
    </row>
    <row r="1944" spans="9:9">
      <c r="I1944" s="206"/>
    </row>
    <row r="1945" spans="9:9">
      <c r="I1945" s="206"/>
    </row>
    <row r="1946" spans="9:9">
      <c r="I1946" s="206"/>
    </row>
    <row r="1947" spans="9:9">
      <c r="I1947" s="206"/>
    </row>
    <row r="1948" spans="9:9">
      <c r="I1948" s="206"/>
    </row>
    <row r="1949" spans="9:9">
      <c r="I1949" s="206"/>
    </row>
    <row r="1950" spans="9:9">
      <c r="I1950" s="206"/>
    </row>
    <row r="1951" spans="9:9">
      <c r="I1951" s="206"/>
    </row>
    <row r="1952" spans="9:9">
      <c r="I1952" s="206"/>
    </row>
    <row r="1953" spans="9:9">
      <c r="I1953" s="206"/>
    </row>
    <row r="1954" spans="9:9">
      <c r="I1954" s="206"/>
    </row>
    <row r="1955" spans="9:9">
      <c r="I1955" s="206"/>
    </row>
    <row r="1956" spans="9:9">
      <c r="I1956" s="206"/>
    </row>
    <row r="1957" spans="9:9">
      <c r="I1957" s="206"/>
    </row>
    <row r="1958" spans="9:9">
      <c r="I1958" s="206"/>
    </row>
    <row r="1959" spans="9:9">
      <c r="I1959" s="206"/>
    </row>
    <row r="1960" spans="9:9">
      <c r="I1960" s="206"/>
    </row>
    <row r="1961" spans="9:9">
      <c r="I1961" s="206"/>
    </row>
    <row r="1962" spans="9:9">
      <c r="I1962" s="206"/>
    </row>
    <row r="1963" spans="9:9">
      <c r="I1963" s="206"/>
    </row>
    <row r="1964" spans="9:9">
      <c r="I1964" s="206"/>
    </row>
    <row r="1965" spans="9:9">
      <c r="I1965" s="206"/>
    </row>
    <row r="1966" spans="9:9">
      <c r="I1966" s="206"/>
    </row>
    <row r="1967" spans="9:9">
      <c r="I1967" s="206"/>
    </row>
    <row r="1968" spans="9:9">
      <c r="I1968" s="206"/>
    </row>
    <row r="1969" spans="9:9">
      <c r="I1969" s="206"/>
    </row>
    <row r="1970" spans="9:9">
      <c r="I1970" s="206"/>
    </row>
    <row r="1971" spans="9:9">
      <c r="I1971" s="206"/>
    </row>
    <row r="1972" spans="9:9">
      <c r="I1972" s="206"/>
    </row>
    <row r="1973" spans="9:9">
      <c r="I1973" s="206"/>
    </row>
    <row r="1974" spans="9:9">
      <c r="I1974" s="206"/>
    </row>
    <row r="1975" spans="9:9">
      <c r="I1975" s="206"/>
    </row>
    <row r="1976" spans="9:9">
      <c r="I1976" s="206"/>
    </row>
    <row r="1977" spans="9:9">
      <c r="I1977" s="206"/>
    </row>
    <row r="1978" spans="9:9">
      <c r="I1978" s="206"/>
    </row>
    <row r="1979" spans="9:9">
      <c r="I1979" s="206"/>
    </row>
    <row r="1980" spans="9:9">
      <c r="I1980" s="206"/>
    </row>
    <row r="1981" spans="9:9">
      <c r="I1981" s="206"/>
    </row>
    <row r="1982" spans="9:9">
      <c r="I1982" s="206"/>
    </row>
    <row r="1983" spans="9:9">
      <c r="I1983" s="206"/>
    </row>
    <row r="1984" spans="9:9">
      <c r="I1984" s="206"/>
    </row>
    <row r="1985" spans="9:9">
      <c r="I1985" s="206"/>
    </row>
    <row r="1986" spans="9:9">
      <c r="I1986" s="206"/>
    </row>
    <row r="1987" spans="9:9">
      <c r="I1987" s="206"/>
    </row>
    <row r="1988" spans="9:9">
      <c r="I1988" s="206"/>
    </row>
    <row r="1989" spans="9:9">
      <c r="I1989" s="206"/>
    </row>
    <row r="1990" spans="9:9">
      <c r="I1990" s="206"/>
    </row>
    <row r="1991" spans="9:9">
      <c r="I1991" s="206"/>
    </row>
    <row r="1992" spans="9:9">
      <c r="I1992" s="206"/>
    </row>
    <row r="1993" spans="9:9">
      <c r="I1993" s="206"/>
    </row>
    <row r="1994" spans="9:9">
      <c r="I1994" s="206"/>
    </row>
    <row r="1995" spans="9:9">
      <c r="I1995" s="206"/>
    </row>
    <row r="1996" spans="9:9">
      <c r="I1996" s="206"/>
    </row>
    <row r="1997" spans="9:9">
      <c r="I1997" s="206"/>
    </row>
    <row r="1998" spans="9:9">
      <c r="I1998" s="206"/>
    </row>
    <row r="1999" spans="9:9">
      <c r="I1999" s="206"/>
    </row>
    <row r="2000" spans="9:9">
      <c r="I2000" s="206"/>
    </row>
    <row r="2001" spans="9:9">
      <c r="I2001" s="206"/>
    </row>
    <row r="2002" spans="9:9">
      <c r="I2002" s="206"/>
    </row>
    <row r="2003" spans="9:9">
      <c r="I2003" s="206"/>
    </row>
    <row r="2004" spans="9:9">
      <c r="I2004" s="206"/>
    </row>
    <row r="2005" spans="9:9">
      <c r="I2005" s="206"/>
    </row>
    <row r="2006" spans="9:9">
      <c r="I2006" s="206"/>
    </row>
    <row r="2007" spans="9:9">
      <c r="I2007" s="206"/>
    </row>
    <row r="2008" spans="9:9">
      <c r="I2008" s="206"/>
    </row>
    <row r="2009" spans="9:9">
      <c r="I2009" s="206"/>
    </row>
    <row r="2010" spans="9:9">
      <c r="I2010" s="206"/>
    </row>
    <row r="2011" spans="9:9">
      <c r="I2011" s="206"/>
    </row>
    <row r="2012" spans="9:9">
      <c r="I2012" s="206"/>
    </row>
    <row r="2013" spans="9:9">
      <c r="I2013" s="206"/>
    </row>
    <row r="2014" spans="9:9">
      <c r="I2014" s="206"/>
    </row>
    <row r="2015" spans="9:9">
      <c r="I2015" s="206"/>
    </row>
    <row r="2016" spans="9:9">
      <c r="I2016" s="206"/>
    </row>
    <row r="2017" spans="9:9">
      <c r="I2017" s="206"/>
    </row>
    <row r="2018" spans="9:9">
      <c r="I2018" s="206"/>
    </row>
    <row r="2019" spans="9:9">
      <c r="I2019" s="206"/>
    </row>
    <row r="2020" spans="9:9">
      <c r="I2020" s="206"/>
    </row>
    <row r="2021" spans="9:9">
      <c r="I2021" s="206"/>
    </row>
    <row r="2022" spans="9:9">
      <c r="I2022" s="206"/>
    </row>
  </sheetData>
  <mergeCells count="3">
    <mergeCell ref="C11:E11"/>
    <mergeCell ref="C12:E12"/>
    <mergeCell ref="K9:U9"/>
  </mergeCells>
  <phoneticPr fontId="10" type="noConversion"/>
  <pageMargins left="0.4" right="0.25" top="1" bottom="0.5" header="0.5" footer="0.5"/>
  <pageSetup scale="45" orientation="landscape" r:id="rId1"/>
  <headerFooter alignWithMargins="0"/>
  <rowBreaks count="6" manualBreakCount="6">
    <brk id="77" min="2" max="32" man="1"/>
    <brk id="139" min="2" max="32" man="1"/>
    <brk id="202" min="2" max="32" man="1"/>
    <brk id="233" min="2" max="32" man="1"/>
    <brk id="303" min="2" max="32" man="1"/>
    <brk id="361" min="2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78"/>
  <sheetViews>
    <sheetView zoomScale="90" zoomScaleNormal="90" workbookViewId="0">
      <selection activeCell="J98" sqref="J98"/>
    </sheetView>
  </sheetViews>
  <sheetFormatPr defaultRowHeight="15"/>
  <cols>
    <col min="1" max="1" width="15.44140625" customWidth="1"/>
    <col min="3" max="3" width="6.109375" customWidth="1"/>
    <col min="4" max="4" width="13.77734375" bestFit="1" customWidth="1"/>
    <col min="5" max="5" width="1.44140625" customWidth="1"/>
    <col min="6" max="6" width="13.33203125" bestFit="1" customWidth="1"/>
    <col min="7" max="7" width="1.33203125" customWidth="1"/>
    <col min="8" max="8" width="12.77734375" bestFit="1" customWidth="1"/>
    <col min="9" max="9" width="1.33203125" customWidth="1"/>
    <col min="10" max="10" width="12.21875" bestFit="1" customWidth="1"/>
    <col min="11" max="11" width="1.77734375" customWidth="1"/>
    <col min="12" max="12" width="12.21875" style="36" bestFit="1" customWidth="1"/>
    <col min="13" max="13" width="1.33203125" style="36" customWidth="1"/>
    <col min="14" max="14" width="12.21875" style="36" bestFit="1" customWidth="1"/>
    <col min="15" max="15" width="1.109375" style="36" customWidth="1"/>
    <col min="16" max="16" width="12.21875" style="36" bestFit="1" customWidth="1"/>
    <col min="17" max="17" width="9" bestFit="1" customWidth="1"/>
    <col min="18" max="18" width="9.77734375" bestFit="1" customWidth="1"/>
  </cols>
  <sheetData>
    <row r="1" spans="1:20" ht="16.5" thickBot="1">
      <c r="A1" s="569" t="s">
        <v>577</v>
      </c>
      <c r="B1" s="567"/>
      <c r="C1" s="567"/>
      <c r="D1" s="567"/>
      <c r="E1" s="567"/>
      <c r="F1" s="567"/>
      <c r="G1" s="567"/>
      <c r="H1" s="567"/>
      <c r="I1" s="567"/>
    </row>
    <row r="2" spans="1:20" ht="17.25" thickTop="1" thickBot="1">
      <c r="A2" s="568" t="s">
        <v>578</v>
      </c>
      <c r="B2" s="567"/>
      <c r="C2" s="570">
        <v>2</v>
      </c>
    </row>
    <row r="3" spans="1:20" ht="15.75" thickTop="1"/>
    <row r="4" spans="1:20">
      <c r="A4" s="12" t="s">
        <v>282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82"/>
      <c r="N4" s="74" t="s">
        <v>19</v>
      </c>
      <c r="O4" s="74"/>
      <c r="P4" s="74"/>
      <c r="Q4" s="12"/>
      <c r="R4" s="12"/>
      <c r="S4" s="12"/>
      <c r="T4" s="12"/>
    </row>
    <row r="5" spans="1:20">
      <c r="A5" s="59">
        <f ca="1">NOW()</f>
        <v>42754.418539236111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2"/>
      <c r="N5" s="12"/>
      <c r="O5" s="12"/>
      <c r="P5" s="12"/>
      <c r="Q5" s="12"/>
      <c r="R5" s="12"/>
      <c r="S5" s="12"/>
      <c r="T5" s="12"/>
    </row>
    <row r="6" spans="1:20" ht="15.75">
      <c r="A6" s="100" t="str">
        <f>IF($C$2=1,"make sure cell C2 = 2 for Proposed ROR", "OK")</f>
        <v>OK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82"/>
      <c r="N6" s="12"/>
      <c r="O6" s="12"/>
      <c r="P6" s="12"/>
      <c r="Q6" s="12"/>
      <c r="R6" s="12"/>
      <c r="S6" s="12"/>
      <c r="T6" s="12"/>
    </row>
    <row r="7" spans="1:20">
      <c r="A7" s="62" t="s">
        <v>635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251"/>
      <c r="N7" s="61"/>
      <c r="O7" s="61"/>
      <c r="P7" s="61"/>
      <c r="Q7" s="12"/>
      <c r="R7" s="12"/>
      <c r="S7" s="12"/>
      <c r="T7" s="12"/>
    </row>
    <row r="8" spans="1:20" ht="15.75">
      <c r="A8" s="104"/>
      <c r="B8" s="61"/>
      <c r="C8" s="61"/>
      <c r="D8" s="61"/>
      <c r="E8" s="61"/>
      <c r="F8" s="61"/>
      <c r="G8" s="61"/>
      <c r="H8" s="61"/>
      <c r="I8" s="61"/>
      <c r="J8" s="61"/>
      <c r="K8" s="105"/>
      <c r="L8" s="61"/>
      <c r="M8" s="251"/>
      <c r="N8" s="61"/>
      <c r="O8" s="61"/>
      <c r="P8" s="61"/>
      <c r="Q8" s="12"/>
      <c r="R8" s="12"/>
      <c r="S8" s="12"/>
      <c r="T8" s="12"/>
    </row>
    <row r="9" spans="1:20">
      <c r="A9" s="62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250"/>
      <c r="N9" s="62"/>
      <c r="O9" s="62"/>
      <c r="P9" s="62"/>
      <c r="Q9" s="12"/>
      <c r="R9" s="12"/>
      <c r="S9" s="12"/>
      <c r="T9" s="12"/>
    </row>
    <row r="10" spans="1:20">
      <c r="A10" s="62" t="s">
        <v>21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250"/>
      <c r="N10" s="62"/>
      <c r="O10" s="62"/>
      <c r="P10" s="62"/>
      <c r="Q10" s="12"/>
      <c r="R10" s="12"/>
      <c r="S10" s="12"/>
      <c r="T10" s="12"/>
    </row>
    <row r="11" spans="1:20">
      <c r="A11" s="29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250"/>
      <c r="N11" s="62"/>
      <c r="O11" s="62"/>
      <c r="P11" s="62"/>
      <c r="Q11" s="12"/>
      <c r="R11" s="12"/>
      <c r="S11" s="12"/>
      <c r="T11" s="12"/>
    </row>
    <row r="12" spans="1:20">
      <c r="A12" s="41"/>
      <c r="B12" s="41"/>
      <c r="C12" s="41"/>
      <c r="D12" s="41"/>
      <c r="E12" s="41"/>
      <c r="F12" s="41"/>
      <c r="G12" s="41"/>
      <c r="H12" s="67"/>
      <c r="I12" s="41"/>
      <c r="J12" s="67"/>
      <c r="K12" s="41"/>
      <c r="L12" s="67"/>
      <c r="M12" s="180"/>
      <c r="N12" s="67"/>
      <c r="O12" s="510"/>
      <c r="P12" s="494"/>
      <c r="Q12" s="12"/>
      <c r="R12" s="12"/>
      <c r="S12" s="12"/>
      <c r="T12" s="12"/>
    </row>
    <row r="13" spans="1:20">
      <c r="A13" s="41"/>
      <c r="B13" s="41"/>
      <c r="C13" s="41"/>
      <c r="D13" s="67" t="s">
        <v>216</v>
      </c>
      <c r="E13" s="41"/>
      <c r="F13" s="67"/>
      <c r="G13" s="41"/>
      <c r="H13" s="67"/>
      <c r="I13" s="41"/>
      <c r="J13" s="67"/>
      <c r="K13" s="41"/>
      <c r="L13" s="67"/>
      <c r="M13" s="180"/>
      <c r="N13" s="67"/>
      <c r="O13" s="510"/>
      <c r="P13" s="494"/>
      <c r="Q13" s="12"/>
      <c r="R13" s="12"/>
      <c r="S13" s="12"/>
      <c r="T13" s="12"/>
    </row>
    <row r="14" spans="1:20">
      <c r="A14" s="62" t="s">
        <v>22</v>
      </c>
      <c r="B14" s="62"/>
      <c r="C14" s="41"/>
      <c r="D14" s="67" t="s">
        <v>171</v>
      </c>
      <c r="E14" s="41"/>
      <c r="F14" s="67" t="s">
        <v>322</v>
      </c>
      <c r="G14" s="41"/>
      <c r="H14" s="67" t="s">
        <v>318</v>
      </c>
      <c r="I14" s="41"/>
      <c r="J14" s="67" t="s">
        <v>319</v>
      </c>
      <c r="K14" s="41"/>
      <c r="L14" s="67" t="s">
        <v>320</v>
      </c>
      <c r="M14" s="180"/>
      <c r="N14" s="67" t="s">
        <v>469</v>
      </c>
      <c r="O14" s="510"/>
      <c r="P14" s="494" t="s">
        <v>427</v>
      </c>
      <c r="Q14" s="12"/>
      <c r="R14" s="12"/>
      <c r="S14" s="12"/>
      <c r="T14" s="12"/>
    </row>
    <row r="15" spans="1:20">
      <c r="A15" s="63" t="s">
        <v>173</v>
      </c>
      <c r="B15" s="63"/>
      <c r="C15" s="41"/>
      <c r="D15" s="66" t="s">
        <v>181</v>
      </c>
      <c r="E15" s="41"/>
      <c r="F15" s="66" t="s">
        <v>195</v>
      </c>
      <c r="G15" s="41"/>
      <c r="H15" s="66" t="s">
        <v>191</v>
      </c>
      <c r="I15" s="41"/>
      <c r="J15" s="66" t="s">
        <v>202</v>
      </c>
      <c r="K15" s="41"/>
      <c r="L15" s="66" t="s">
        <v>198</v>
      </c>
      <c r="M15" s="180"/>
      <c r="N15" s="90">
        <f>+L15-1</f>
        <v>-7</v>
      </c>
      <c r="O15" s="90"/>
      <c r="P15" s="90">
        <v>-8</v>
      </c>
      <c r="Q15" s="12"/>
      <c r="R15" s="12"/>
      <c r="S15" s="12"/>
      <c r="T15" s="12"/>
    </row>
    <row r="16" spans="1:20">
      <c r="A16" s="41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195"/>
      <c r="N16" s="41"/>
      <c r="O16" s="41"/>
      <c r="P16" s="41"/>
      <c r="Q16" s="12"/>
      <c r="R16" s="12"/>
      <c r="S16" s="12"/>
      <c r="T16" s="12"/>
    </row>
    <row r="17" spans="1:20">
      <c r="A17" s="41" t="s">
        <v>151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195"/>
      <c r="N17" s="41"/>
      <c r="O17" s="41"/>
      <c r="P17" s="41"/>
      <c r="Q17" s="12"/>
      <c r="R17" s="12"/>
      <c r="S17" s="12"/>
      <c r="T17" s="12"/>
    </row>
    <row r="18" spans="1:20">
      <c r="A18" s="41" t="s">
        <v>23</v>
      </c>
      <c r="B18" s="41"/>
      <c r="C18" s="41"/>
      <c r="D18" s="258">
        <f>SUM(F18:P18)</f>
        <v>164388423.45416647</v>
      </c>
      <c r="E18" s="41"/>
      <c r="F18" s="92">
        <f>+Sched.A!L16</f>
        <v>103680686.67270669</v>
      </c>
      <c r="G18" s="41"/>
      <c r="H18" s="92">
        <f>+Sched.A!L18</f>
        <v>26222989</v>
      </c>
      <c r="I18" s="41"/>
      <c r="J18" s="92">
        <f>+Sched.A!L20</f>
        <v>9464319.0010000002</v>
      </c>
      <c r="K18" s="41"/>
      <c r="L18" s="92">
        <f>+Sched.A!L22</f>
        <v>7553329.7804598045</v>
      </c>
      <c r="M18" s="41"/>
      <c r="N18" s="92">
        <f>+Sched.A!L24</f>
        <v>16550361</v>
      </c>
      <c r="O18" s="92"/>
      <c r="P18" s="92">
        <f>+Sched.A!L26</f>
        <v>916738</v>
      </c>
      <c r="Q18" s="12">
        <f t="shared" ref="Q18:Q36" si="0">+D18-SUM(F18:P18)</f>
        <v>0</v>
      </c>
      <c r="R18" s="12"/>
      <c r="S18" s="12"/>
      <c r="T18" s="12"/>
    </row>
    <row r="19" spans="1:20">
      <c r="A19" s="41" t="s">
        <v>24</v>
      </c>
      <c r="B19" s="41"/>
      <c r="C19" s="41"/>
      <c r="D19" s="32">
        <f>SUM(F19:P19)</f>
        <v>2278000</v>
      </c>
      <c r="E19" s="32"/>
      <c r="F19" s="32">
        <f>+Alloc!K227+Alloc!W227</f>
        <v>1561548</v>
      </c>
      <c r="G19" s="32"/>
      <c r="H19" s="32">
        <f>+Alloc!M227+Alloc!Y227</f>
        <v>496931</v>
      </c>
      <c r="I19" s="32"/>
      <c r="J19" s="32">
        <f>+Alloc!O227+Alloc!AA227</f>
        <v>151405</v>
      </c>
      <c r="K19" s="32"/>
      <c r="L19" s="32">
        <f>+Alloc!Q227+Alloc!AC227</f>
        <v>22285</v>
      </c>
      <c r="M19" s="32"/>
      <c r="N19" s="32">
        <f>+Alloc!S227+Alloc!AE227</f>
        <v>42114</v>
      </c>
      <c r="O19" s="32"/>
      <c r="P19" s="265">
        <f>+Alloc!U227+Alloc!AG227</f>
        <v>3717</v>
      </c>
      <c r="Q19" s="12">
        <f t="shared" si="0"/>
        <v>0</v>
      </c>
      <c r="R19" s="12"/>
      <c r="S19" s="12"/>
      <c r="T19" s="12"/>
    </row>
    <row r="20" spans="1:20">
      <c r="A20" s="41"/>
      <c r="B20" s="41"/>
      <c r="C20" s="41"/>
      <c r="D20" s="91"/>
      <c r="E20" s="32"/>
      <c r="F20" s="91"/>
      <c r="G20" s="32"/>
      <c r="H20" s="91"/>
      <c r="I20" s="32"/>
      <c r="J20" s="91"/>
      <c r="K20" s="32"/>
      <c r="L20" s="91"/>
      <c r="M20" s="258"/>
      <c r="N20" s="91"/>
      <c r="O20" s="258"/>
      <c r="P20" s="258"/>
      <c r="Q20" s="12">
        <f t="shared" si="0"/>
        <v>0</v>
      </c>
      <c r="R20" s="12"/>
      <c r="S20" s="12"/>
      <c r="T20" s="12"/>
    </row>
    <row r="21" spans="1:20">
      <c r="A21" s="41" t="s">
        <v>25</v>
      </c>
      <c r="B21" s="41"/>
      <c r="C21" s="41"/>
      <c r="D21" s="32">
        <f>D19+D18</f>
        <v>166666423.45416647</v>
      </c>
      <c r="E21" s="32"/>
      <c r="F21" s="32">
        <f>F19+F18</f>
        <v>105242234.67270669</v>
      </c>
      <c r="G21" s="32"/>
      <c r="H21" s="32">
        <f>H19+H18</f>
        <v>26719920</v>
      </c>
      <c r="I21" s="32"/>
      <c r="J21" s="32">
        <f>J19+J18</f>
        <v>9615724.0010000002</v>
      </c>
      <c r="K21" s="32"/>
      <c r="L21" s="32">
        <f>L19+L18</f>
        <v>7575614.7804598045</v>
      </c>
      <c r="M21" s="32"/>
      <c r="N21" s="32">
        <f>N19+N18</f>
        <v>16592475</v>
      </c>
      <c r="O21" s="32"/>
      <c r="P21" s="32">
        <f t="shared" ref="P21" si="1">P19+P18</f>
        <v>920455</v>
      </c>
      <c r="Q21" s="12">
        <f t="shared" si="0"/>
        <v>0</v>
      </c>
      <c r="R21" s="12"/>
      <c r="S21" s="12"/>
      <c r="T21" s="12"/>
    </row>
    <row r="22" spans="1:20">
      <c r="A22" s="41"/>
      <c r="B22" s="41"/>
      <c r="C22" s="41"/>
      <c r="D22" s="32"/>
      <c r="E22" s="32"/>
      <c r="F22" s="32"/>
      <c r="G22" s="32"/>
      <c r="H22" s="32"/>
      <c r="I22" s="32"/>
      <c r="J22" s="32"/>
      <c r="K22" s="32"/>
      <c r="L22" s="32"/>
      <c r="M22" s="258"/>
      <c r="N22" s="32"/>
      <c r="O22" s="32"/>
      <c r="P22" s="32"/>
      <c r="Q22" s="12">
        <f t="shared" si="0"/>
        <v>0</v>
      </c>
      <c r="R22" s="12"/>
      <c r="S22" s="12"/>
      <c r="T22" s="12"/>
    </row>
    <row r="23" spans="1:20">
      <c r="A23" s="41" t="s">
        <v>26</v>
      </c>
      <c r="B23" s="41"/>
      <c r="C23" s="41"/>
      <c r="D23" s="32">
        <f>SUM(F23:P23)</f>
        <v>98381949.388671294</v>
      </c>
      <c r="E23" s="32"/>
      <c r="F23" s="32">
        <f>+Alloc!K$213+Alloc!W$213</f>
        <v>65358744</v>
      </c>
      <c r="G23" s="32"/>
      <c r="H23" s="32">
        <f>+Alloc!M213+Alloc!Y213</f>
        <v>15005995</v>
      </c>
      <c r="I23" s="32"/>
      <c r="J23" s="32">
        <f>+Alloc!O213+Alloc!AA213</f>
        <v>5280991</v>
      </c>
      <c r="K23" s="32"/>
      <c r="L23" s="32">
        <f>+Alloc!Q213+Alloc!AC213</f>
        <v>3992276</v>
      </c>
      <c r="M23" s="32"/>
      <c r="N23" s="32">
        <f>+Alloc!S213+Alloc!AE213</f>
        <v>8039067.3886712994</v>
      </c>
      <c r="O23" s="32"/>
      <c r="P23" s="265">
        <f>+Alloc!U213+Alloc!AG213</f>
        <v>704876</v>
      </c>
      <c r="Q23" s="12">
        <f t="shared" si="0"/>
        <v>0</v>
      </c>
      <c r="R23" s="12"/>
      <c r="S23" s="12"/>
      <c r="T23" s="12"/>
    </row>
    <row r="24" spans="1:20">
      <c r="A24" s="41"/>
      <c r="B24" s="41"/>
      <c r="C24" s="41"/>
      <c r="D24" s="91"/>
      <c r="E24" s="32"/>
      <c r="F24" s="91"/>
      <c r="G24" s="32"/>
      <c r="H24" s="91"/>
      <c r="I24" s="32"/>
      <c r="J24" s="91"/>
      <c r="K24" s="32"/>
      <c r="L24" s="91"/>
      <c r="M24" s="258"/>
      <c r="N24" s="91"/>
      <c r="O24" s="91"/>
      <c r="P24" s="258"/>
      <c r="Q24" s="12">
        <f t="shared" si="0"/>
        <v>0</v>
      </c>
      <c r="R24" s="12"/>
      <c r="S24" s="12"/>
      <c r="T24" s="12"/>
    </row>
    <row r="25" spans="1:20">
      <c r="A25" s="41" t="s">
        <v>27</v>
      </c>
      <c r="B25" s="41"/>
      <c r="C25" s="41"/>
      <c r="D25" s="32">
        <f>D21-D23</f>
        <v>68284474.065495178</v>
      </c>
      <c r="E25" s="41"/>
      <c r="F25" s="32">
        <f>F21-F23</f>
        <v>39883490.672706693</v>
      </c>
      <c r="G25" s="41"/>
      <c r="H25" s="32">
        <f>H21-H23</f>
        <v>11713925</v>
      </c>
      <c r="I25" s="41"/>
      <c r="J25" s="32">
        <f>J21-J23</f>
        <v>4334733.0010000002</v>
      </c>
      <c r="K25" s="41"/>
      <c r="L25" s="32">
        <f>L21-L23</f>
        <v>3583338.7804598045</v>
      </c>
      <c r="M25" s="41"/>
      <c r="N25" s="32">
        <f>N21-N23</f>
        <v>8553407.6113287006</v>
      </c>
      <c r="O25" s="32"/>
      <c r="P25" s="32">
        <f t="shared" ref="P25" si="2">P21-P23</f>
        <v>215579</v>
      </c>
      <c r="Q25" s="12">
        <f t="shared" si="0"/>
        <v>0</v>
      </c>
      <c r="R25" s="12"/>
      <c r="S25" s="12"/>
      <c r="T25" s="12"/>
    </row>
    <row r="26" spans="1:20">
      <c r="A26" s="41"/>
      <c r="B26" s="41"/>
      <c r="C26" s="41"/>
      <c r="D26" s="32"/>
      <c r="E26" s="32"/>
      <c r="F26" s="32"/>
      <c r="G26" s="32"/>
      <c r="H26" s="32"/>
      <c r="I26" s="32"/>
      <c r="J26" s="32"/>
      <c r="K26" s="32"/>
      <c r="L26" s="32"/>
      <c r="M26" s="258"/>
      <c r="N26" s="32"/>
      <c r="O26" s="32"/>
      <c r="P26" s="32"/>
      <c r="Q26" s="12">
        <f t="shared" si="0"/>
        <v>0</v>
      </c>
      <c r="R26" s="12"/>
      <c r="S26" s="12"/>
      <c r="T26" s="12"/>
    </row>
    <row r="27" spans="1:20" s="112" customFormat="1">
      <c r="A27" s="277" t="s">
        <v>28</v>
      </c>
      <c r="B27" s="277"/>
      <c r="C27" s="277"/>
      <c r="D27" s="275">
        <v>11953000</v>
      </c>
      <c r="E27" s="275"/>
      <c r="F27" s="275">
        <f>ROUND(F43*$D27,0)</f>
        <v>7223198</v>
      </c>
      <c r="G27" s="275"/>
      <c r="H27" s="275">
        <f>ROUND(H43*$D27,0)</f>
        <v>2164688</v>
      </c>
      <c r="I27" s="275"/>
      <c r="J27" s="275">
        <f>ROUND(J43*$D27,0)</f>
        <v>782922</v>
      </c>
      <c r="K27" s="275"/>
      <c r="L27" s="275">
        <f>ROUND(L43*$D27,0)</f>
        <v>616775</v>
      </c>
      <c r="M27" s="275"/>
      <c r="N27" s="275">
        <f>ROUND(N43*$D27,0)</f>
        <v>1069794</v>
      </c>
      <c r="O27" s="275"/>
      <c r="P27" s="275">
        <f t="shared" ref="P27" si="3">ROUND(P43*$D27,0)</f>
        <v>95624</v>
      </c>
      <c r="Q27" s="12">
        <f t="shared" si="0"/>
        <v>-1</v>
      </c>
      <c r="R27" s="282"/>
      <c r="S27" s="282"/>
      <c r="T27" s="282"/>
    </row>
    <row r="28" spans="1:20">
      <c r="A28" s="41"/>
      <c r="B28" s="41"/>
      <c r="C28" s="41"/>
      <c r="D28" s="91"/>
      <c r="E28" s="32"/>
      <c r="F28" s="91"/>
      <c r="G28" s="32"/>
      <c r="H28" s="91"/>
      <c r="I28" s="32"/>
      <c r="J28" s="91"/>
      <c r="K28" s="32"/>
      <c r="L28" s="91"/>
      <c r="M28" s="258"/>
      <c r="N28" s="91"/>
      <c r="O28" s="91"/>
      <c r="P28" s="91"/>
      <c r="Q28" s="12">
        <f t="shared" si="0"/>
        <v>0</v>
      </c>
      <c r="R28" s="12"/>
      <c r="S28" s="12"/>
      <c r="T28" s="12"/>
    </row>
    <row r="29" spans="1:20">
      <c r="A29" s="41" t="s">
        <v>29</v>
      </c>
      <c r="B29" s="41"/>
      <c r="C29" s="41"/>
      <c r="D29" s="32">
        <f>D25-D27</f>
        <v>56331474.065495178</v>
      </c>
      <c r="E29" s="32"/>
      <c r="F29" s="32">
        <f>F25-F27</f>
        <v>32660292.672706693</v>
      </c>
      <c r="G29" s="32"/>
      <c r="H29" s="32">
        <f>H25-H27</f>
        <v>9549237</v>
      </c>
      <c r="I29" s="32"/>
      <c r="J29" s="32">
        <f>J25-J27</f>
        <v>3551811.0010000002</v>
      </c>
      <c r="K29" s="32"/>
      <c r="L29" s="32">
        <f>L25-L27</f>
        <v>2966563.7804598045</v>
      </c>
      <c r="M29" s="32"/>
      <c r="N29" s="32">
        <f>N25-N27</f>
        <v>7483613.6113287006</v>
      </c>
      <c r="O29" s="32"/>
      <c r="P29" s="32">
        <f t="shared" ref="P29" si="4">P25-P27</f>
        <v>119955</v>
      </c>
      <c r="Q29" s="12">
        <f t="shared" si="0"/>
        <v>0.99999997764825821</v>
      </c>
      <c r="R29" s="12"/>
      <c r="S29" s="12"/>
      <c r="T29" s="12"/>
    </row>
    <row r="30" spans="1:20">
      <c r="A30" s="41"/>
      <c r="B30" s="41"/>
      <c r="C30" s="4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12">
        <f t="shared" si="0"/>
        <v>0</v>
      </c>
      <c r="R30" s="12"/>
      <c r="S30" s="12"/>
      <c r="T30" s="12"/>
    </row>
    <row r="31" spans="1:20">
      <c r="A31" s="41" t="s">
        <v>30</v>
      </c>
      <c r="B31" s="41"/>
      <c r="C31" s="41"/>
      <c r="D31" s="32">
        <f>+Alloc!B215*1000</f>
        <v>21584000</v>
      </c>
      <c r="E31" s="32"/>
      <c r="F31" s="32">
        <f>ROUND(+F44*$D31,0)</f>
        <v>12514403</v>
      </c>
      <c r="G31" s="32"/>
      <c r="H31" s="93">
        <f>ROUND(+H44*$D31,0)</f>
        <v>3658488</v>
      </c>
      <c r="I31" s="32"/>
      <c r="J31" s="32">
        <f>ROUND(+J44*$D31,0)</f>
        <v>1361950</v>
      </c>
      <c r="K31" s="32"/>
      <c r="L31" s="32">
        <f>ROUND(+L44*$D31,0)</f>
        <v>1137477</v>
      </c>
      <c r="M31" s="32"/>
      <c r="N31" s="32">
        <f>ROUND(+N44*$D31,0)</f>
        <v>2866355</v>
      </c>
      <c r="O31" s="32"/>
      <c r="P31" s="32">
        <f t="shared" ref="P31" si="5">ROUND(+P44*$D31,0)</f>
        <v>45326</v>
      </c>
      <c r="Q31" s="12">
        <f t="shared" si="0"/>
        <v>1</v>
      </c>
      <c r="R31" s="12"/>
      <c r="S31" s="12"/>
      <c r="T31" s="12"/>
    </row>
    <row r="32" spans="1:20">
      <c r="A32" s="41"/>
      <c r="B32" s="41"/>
      <c r="C32" s="41"/>
      <c r="D32" s="294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12">
        <f t="shared" si="0"/>
        <v>0</v>
      </c>
      <c r="R32" s="12"/>
      <c r="S32" s="12"/>
      <c r="T32" s="12"/>
    </row>
    <row r="33" spans="1:20">
      <c r="A33" s="41" t="s">
        <v>31</v>
      </c>
      <c r="B33" s="41"/>
      <c r="C33" s="41"/>
      <c r="D33" s="32">
        <f>D25-D31</f>
        <v>46700474.065495178</v>
      </c>
      <c r="E33" s="32"/>
      <c r="F33" s="32">
        <f>F25-F31</f>
        <v>27369087.672706693</v>
      </c>
      <c r="G33" s="32"/>
      <c r="H33" s="32">
        <f>H25-H31</f>
        <v>8055437</v>
      </c>
      <c r="I33" s="32"/>
      <c r="J33" s="32">
        <f>J25-J31</f>
        <v>2972783.0010000002</v>
      </c>
      <c r="K33" s="32"/>
      <c r="L33" s="32">
        <f>L25-L31</f>
        <v>2445861.7804598045</v>
      </c>
      <c r="M33" s="32"/>
      <c r="N33" s="32">
        <f>N25-N31</f>
        <v>5687052.6113287006</v>
      </c>
      <c r="O33" s="32"/>
      <c r="P33" s="32">
        <f t="shared" ref="P33" si="6">P25-P31</f>
        <v>170253</v>
      </c>
      <c r="Q33" s="12">
        <f t="shared" si="0"/>
        <v>-1.0000000223517418</v>
      </c>
      <c r="R33" s="12"/>
      <c r="S33" s="12"/>
      <c r="T33" s="12"/>
    </row>
    <row r="34" spans="1:20">
      <c r="A34" s="41"/>
      <c r="B34" s="41"/>
      <c r="C34" s="41"/>
      <c r="D34" s="32"/>
      <c r="E34" s="32"/>
      <c r="F34" s="32"/>
      <c r="G34" s="32"/>
      <c r="H34" s="32"/>
      <c r="I34" s="32"/>
      <c r="J34" s="32"/>
      <c r="K34" s="32"/>
      <c r="L34" s="32"/>
      <c r="M34" s="258"/>
      <c r="N34" s="32"/>
      <c r="O34" s="32"/>
      <c r="P34" s="32"/>
      <c r="Q34" s="12">
        <f t="shared" si="0"/>
        <v>0</v>
      </c>
      <c r="R34" s="12"/>
      <c r="S34" s="12"/>
      <c r="T34" s="12"/>
    </row>
    <row r="35" spans="1:20">
      <c r="A35" s="41" t="s">
        <v>32</v>
      </c>
      <c r="B35" s="41"/>
      <c r="C35" s="41"/>
      <c r="D35" s="32"/>
      <c r="E35" s="32"/>
      <c r="F35" s="32"/>
      <c r="G35" s="32"/>
      <c r="H35" s="32"/>
      <c r="I35" s="32"/>
      <c r="J35" s="32"/>
      <c r="K35" s="32"/>
      <c r="L35" s="32"/>
      <c r="M35" s="258"/>
      <c r="N35" s="32"/>
      <c r="O35" s="32"/>
      <c r="P35" s="32"/>
      <c r="Q35" s="12">
        <f t="shared" si="0"/>
        <v>0</v>
      </c>
      <c r="R35" s="12"/>
      <c r="S35" s="12"/>
      <c r="T35" s="12"/>
    </row>
    <row r="36" spans="1:20">
      <c r="A36" s="41" t="s">
        <v>33</v>
      </c>
      <c r="B36" s="41"/>
      <c r="C36" s="41"/>
      <c r="D36" s="32">
        <f>SUM(F36:P36)</f>
        <v>555974811.1496737</v>
      </c>
      <c r="E36" s="32"/>
      <c r="F36" s="32">
        <f>+Alloc!K314+Alloc!W314</f>
        <v>335990016</v>
      </c>
      <c r="G36" s="32"/>
      <c r="H36" s="32">
        <f>+Alloc!M314+Alloc!Y314</f>
        <v>100683018</v>
      </c>
      <c r="I36" s="32"/>
      <c r="J36" s="32">
        <f>+Alloc!O314+Alloc!AA314</f>
        <v>36426584</v>
      </c>
      <c r="K36" s="32"/>
      <c r="L36" s="32">
        <f>+Alloc!Q314+Alloc!AC314</f>
        <v>28667894</v>
      </c>
      <c r="M36" s="32"/>
      <c r="N36" s="32">
        <f>+Alloc!S314+Alloc!AE314</f>
        <v>49737198.149673641</v>
      </c>
      <c r="O36" s="32"/>
      <c r="P36" s="32">
        <f>+Alloc!U314+Alloc!AG314</f>
        <v>4470101</v>
      </c>
      <c r="Q36" s="12">
        <f t="shared" si="0"/>
        <v>0</v>
      </c>
      <c r="R36" s="12"/>
      <c r="S36" s="12"/>
      <c r="T36" s="12"/>
    </row>
    <row r="37" spans="1:20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195"/>
      <c r="N37" s="41"/>
      <c r="O37" s="41"/>
      <c r="P37" s="41"/>
      <c r="Q37" s="12"/>
      <c r="R37" s="12"/>
      <c r="S37" s="12"/>
      <c r="T37" s="12"/>
    </row>
    <row r="38" spans="1:20">
      <c r="A38" s="41" t="s">
        <v>34</v>
      </c>
      <c r="B38" s="41"/>
      <c r="C38" s="41"/>
      <c r="D38" s="83">
        <f>D33/D36</f>
        <v>8.3997463786040061E-2</v>
      </c>
      <c r="E38" s="41"/>
      <c r="F38" s="83">
        <f>F33/F36</f>
        <v>8.1458038540962757E-2</v>
      </c>
      <c r="G38" s="41"/>
      <c r="H38" s="83">
        <f>H33/H36</f>
        <v>8.0007901630441788E-2</v>
      </c>
      <c r="I38" s="41"/>
      <c r="J38" s="83">
        <f>J33/J36</f>
        <v>8.1610260270356408E-2</v>
      </c>
      <c r="K38" s="41"/>
      <c r="L38" s="83">
        <f>L33/L36</f>
        <v>8.5317107020829799E-2</v>
      </c>
      <c r="M38" s="259"/>
      <c r="N38" s="83">
        <f>N33/N36</f>
        <v>0.11434203821081178</v>
      </c>
      <c r="O38" s="83"/>
      <c r="P38" s="83">
        <f t="shared" ref="P38" si="7">P33/P36</f>
        <v>3.8087058883009575E-2</v>
      </c>
      <c r="Q38" s="12"/>
      <c r="R38" s="12"/>
      <c r="S38" s="12"/>
      <c r="T38" s="12"/>
    </row>
    <row r="39" spans="1:20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195"/>
      <c r="N39" s="41"/>
      <c r="O39" s="41"/>
      <c r="P39" s="41"/>
      <c r="Q39" s="12"/>
      <c r="R39" s="12"/>
      <c r="S39" s="12"/>
      <c r="T39" s="12"/>
    </row>
    <row r="40" spans="1:20">
      <c r="A40" s="41" t="s">
        <v>35</v>
      </c>
      <c r="B40" s="41"/>
      <c r="C40" s="41"/>
      <c r="D40" s="84">
        <f>D38/$D$38</f>
        <v>1</v>
      </c>
      <c r="E40" s="41"/>
      <c r="F40" s="84">
        <f>F38/$D$38</f>
        <v>0.96976783428192814</v>
      </c>
      <c r="G40" s="41"/>
      <c r="H40" s="84">
        <f>H38/$D$38</f>
        <v>0.95250377837882627</v>
      </c>
      <c r="I40" s="41"/>
      <c r="J40" s="84">
        <f>J38/$D$38</f>
        <v>0.97158005244343593</v>
      </c>
      <c r="K40" s="41"/>
      <c r="L40" s="84">
        <f>L38/$D$38</f>
        <v>1.015710512857283</v>
      </c>
      <c r="M40" s="260"/>
      <c r="N40" s="84">
        <f>N38/$D$38</f>
        <v>1.3612558410342721</v>
      </c>
      <c r="O40" s="84"/>
      <c r="P40" s="84">
        <f>P38/$D$38</f>
        <v>0.4534310581093931</v>
      </c>
      <c r="Q40" s="12"/>
      <c r="R40" s="12"/>
      <c r="S40" s="12"/>
      <c r="T40" s="12"/>
    </row>
    <row r="41" spans="1:20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195"/>
      <c r="N41" s="41"/>
      <c r="O41" s="41"/>
      <c r="P41" s="41"/>
      <c r="Q41" s="12"/>
      <c r="R41" s="12"/>
      <c r="S41" s="12"/>
      <c r="T41" s="12"/>
    </row>
    <row r="42" spans="1:20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195"/>
      <c r="N42" s="41"/>
      <c r="O42" s="41"/>
      <c r="P42" s="41"/>
      <c r="Q42" s="12"/>
      <c r="R42" s="12"/>
      <c r="S42" s="12"/>
      <c r="T42" s="12"/>
    </row>
    <row r="43" spans="1:20">
      <c r="A43" s="82" t="s">
        <v>36</v>
      </c>
      <c r="B43" s="41"/>
      <c r="C43" s="41"/>
      <c r="D43" s="41"/>
      <c r="E43" s="41"/>
      <c r="F43" s="85">
        <f>ROUND(+F36/$D36,4)</f>
        <v>0.60429999999999995</v>
      </c>
      <c r="G43" s="41"/>
      <c r="H43" s="85">
        <f>ROUND(+H36/$D36,4)</f>
        <v>0.18110000000000001</v>
      </c>
      <c r="I43" s="41"/>
      <c r="J43" s="85">
        <f>ROUND(+J36/$D36,4)</f>
        <v>6.5500000000000003E-2</v>
      </c>
      <c r="K43" s="41"/>
      <c r="L43" s="85">
        <f>ROUND(+L36/$D36,4)</f>
        <v>5.16E-2</v>
      </c>
      <c r="M43" s="41"/>
      <c r="N43" s="85">
        <f>ROUND(+N36/$D36,4)</f>
        <v>8.9499999999999996E-2</v>
      </c>
      <c r="O43" s="85">
        <f t="shared" ref="O43" si="8">ROUND(+O36/$D36,4)</f>
        <v>0</v>
      </c>
      <c r="P43" s="85">
        <f t="shared" ref="P43" si="9">ROUND(+P36/$D36,4)</f>
        <v>8.0000000000000002E-3</v>
      </c>
      <c r="Q43" s="81">
        <f>SUM(F43:P43)</f>
        <v>1</v>
      </c>
      <c r="R43" s="12"/>
      <c r="S43" s="12"/>
      <c r="T43" s="12"/>
    </row>
    <row r="44" spans="1:20">
      <c r="A44" s="82" t="s">
        <v>37</v>
      </c>
      <c r="B44" s="41"/>
      <c r="C44" s="41"/>
      <c r="D44" s="41"/>
      <c r="E44" s="41"/>
      <c r="F44" s="85">
        <f>ROUND(+F29/$D29,4)</f>
        <v>0.57979999999999998</v>
      </c>
      <c r="G44" s="41"/>
      <c r="H44" s="86">
        <f>ROUND(+H29/$D29,4)</f>
        <v>0.16950000000000001</v>
      </c>
      <c r="I44" s="41"/>
      <c r="J44" s="85">
        <f>ROUND(+J29/$D29,4)</f>
        <v>6.3100000000000003E-2</v>
      </c>
      <c r="K44" s="41"/>
      <c r="L44" s="85">
        <f>ROUND(+L29/$D29,4)</f>
        <v>5.2699999999999997E-2</v>
      </c>
      <c r="M44" s="41"/>
      <c r="N44" s="85">
        <f>ROUND(+N29/$D29,4)</f>
        <v>0.1328</v>
      </c>
      <c r="O44" s="85">
        <f t="shared" ref="O44" si="10">ROUND(+O29/$D29,4)</f>
        <v>0</v>
      </c>
      <c r="P44" s="85">
        <f t="shared" ref="P44" si="11">ROUND(+P29/$D29,4)</f>
        <v>2.0999999999999999E-3</v>
      </c>
      <c r="Q44" s="81">
        <f>SUM(F44:P44)</f>
        <v>1</v>
      </c>
      <c r="R44" s="12"/>
      <c r="S44" s="12"/>
      <c r="T44" s="12"/>
    </row>
    <row r="45" spans="1:20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195"/>
      <c r="N45" s="41"/>
      <c r="O45" s="41"/>
      <c r="P45" s="41"/>
      <c r="Q45" s="12"/>
      <c r="R45" s="12"/>
      <c r="S45" s="12"/>
      <c r="T45" s="12"/>
    </row>
    <row r="46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82"/>
      <c r="N46" s="12"/>
      <c r="O46" s="12"/>
      <c r="P46" s="12"/>
      <c r="Q46" s="12"/>
      <c r="R46" s="12"/>
      <c r="S46" s="12"/>
      <c r="T46" s="12"/>
    </row>
    <row r="47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82"/>
      <c r="N47" s="12"/>
      <c r="O47" s="12"/>
      <c r="P47" s="12"/>
      <c r="Q47" s="12"/>
      <c r="R47" s="12"/>
      <c r="S47" s="12"/>
      <c r="T47" s="12"/>
    </row>
    <row r="48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82"/>
      <c r="N48" s="12"/>
      <c r="O48" s="12"/>
      <c r="P48" s="12"/>
      <c r="Q48" s="12"/>
      <c r="R48" s="12"/>
      <c r="S48" s="12"/>
      <c r="T48" s="12"/>
    </row>
    <row r="49" spans="1:20">
      <c r="A49" s="12" t="s">
        <v>282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82"/>
      <c r="N49" s="12"/>
      <c r="O49" s="12"/>
      <c r="P49" s="12"/>
      <c r="Q49" s="12"/>
      <c r="R49" s="12"/>
      <c r="S49" s="12"/>
      <c r="T49" s="12"/>
    </row>
    <row r="50" spans="1:20">
      <c r="A50" s="59">
        <f ca="1">NOW()</f>
        <v>42754.418539236111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82"/>
      <c r="N50" s="12"/>
      <c r="O50" s="12"/>
      <c r="P50" s="12"/>
      <c r="Q50" s="12"/>
      <c r="R50" s="12"/>
      <c r="S50" s="12"/>
      <c r="T50" s="12"/>
    </row>
    <row r="51" spans="1:20" ht="15.75">
      <c r="A51" s="100" t="str">
        <f>IF($C$2=2,"make sure cell C2 = 1 for Present ROR", "OK")</f>
        <v>make sure cell C2 = 1 for Present ROR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82"/>
      <c r="N51" s="12"/>
      <c r="O51" s="12"/>
      <c r="P51" s="12"/>
      <c r="Q51" s="12"/>
      <c r="R51" s="12"/>
      <c r="S51" s="12"/>
      <c r="T51" s="12"/>
    </row>
    <row r="52" spans="1:20">
      <c r="A52" s="62" t="s">
        <v>635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251"/>
      <c r="N52" s="61"/>
      <c r="O52" s="61"/>
      <c r="P52" s="61"/>
      <c r="Q52" s="12"/>
      <c r="R52" s="12"/>
      <c r="S52" s="12"/>
      <c r="T52" s="12"/>
    </row>
    <row r="53" spans="1:20" ht="15.75">
      <c r="A53" s="103"/>
      <c r="B53" s="61"/>
      <c r="C53" s="61"/>
      <c r="D53" s="61"/>
      <c r="E53" s="61"/>
      <c r="F53" s="61"/>
      <c r="G53" s="61"/>
      <c r="H53" s="61"/>
      <c r="I53" s="61"/>
      <c r="J53" s="61"/>
      <c r="K53" s="102"/>
      <c r="L53" s="61"/>
      <c r="M53" s="251"/>
      <c r="N53" s="61"/>
      <c r="O53" s="61"/>
      <c r="P53" s="61"/>
      <c r="Q53" s="12"/>
      <c r="R53" s="12"/>
      <c r="S53" s="12"/>
      <c r="T53" s="12"/>
    </row>
    <row r="54" spans="1:20">
      <c r="A54" s="62" t="s">
        <v>20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250"/>
      <c r="N54" s="62"/>
      <c r="O54" s="62"/>
      <c r="P54" s="62"/>
      <c r="Q54" s="12"/>
      <c r="R54" s="12"/>
      <c r="S54" s="12"/>
      <c r="T54" s="12"/>
    </row>
    <row r="55" spans="1:20">
      <c r="A55" s="62" t="s">
        <v>18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250"/>
      <c r="N55" s="62"/>
      <c r="O55" s="62"/>
      <c r="P55" s="62"/>
      <c r="Q55" s="12"/>
      <c r="R55" s="12"/>
      <c r="S55" s="12"/>
      <c r="T55" s="12"/>
    </row>
    <row r="56" spans="1:20">
      <c r="A56" s="29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250"/>
      <c r="N56" s="62"/>
      <c r="O56" s="62"/>
      <c r="P56" s="62"/>
      <c r="Q56" s="12"/>
      <c r="R56" s="12"/>
      <c r="S56" s="12"/>
      <c r="T56" s="12"/>
    </row>
    <row r="57" spans="1:20">
      <c r="A57" s="41"/>
      <c r="B57" s="41"/>
      <c r="C57" s="41"/>
      <c r="D57" s="41"/>
      <c r="E57" s="41"/>
      <c r="F57" s="41"/>
      <c r="G57" s="41"/>
      <c r="H57" s="67"/>
      <c r="I57" s="41"/>
      <c r="J57" s="67"/>
      <c r="K57" s="41"/>
      <c r="L57" s="67"/>
      <c r="M57" s="180"/>
      <c r="N57" s="67"/>
      <c r="O57" s="510"/>
      <c r="P57" s="494"/>
      <c r="Q57" s="12"/>
      <c r="R57" s="12"/>
      <c r="S57" s="12"/>
      <c r="T57" s="12"/>
    </row>
    <row r="58" spans="1:20">
      <c r="A58" s="41"/>
      <c r="B58" s="41"/>
      <c r="C58" s="41"/>
      <c r="D58" s="67" t="s">
        <v>216</v>
      </c>
      <c r="E58" s="41"/>
      <c r="F58" s="67"/>
      <c r="G58" s="41"/>
      <c r="H58" s="67"/>
      <c r="I58" s="41"/>
      <c r="J58" s="67"/>
      <c r="K58" s="41"/>
      <c r="L58" s="67"/>
      <c r="M58" s="180"/>
      <c r="N58" s="67"/>
      <c r="O58" s="510"/>
      <c r="P58" s="494"/>
      <c r="Q58" s="12"/>
      <c r="R58" s="12"/>
      <c r="S58" s="12"/>
      <c r="T58" s="12"/>
    </row>
    <row r="59" spans="1:20">
      <c r="A59" s="62" t="s">
        <v>22</v>
      </c>
      <c r="B59" s="62"/>
      <c r="C59" s="41"/>
      <c r="D59" s="67" t="s">
        <v>171</v>
      </c>
      <c r="E59" s="41"/>
      <c r="F59" s="67" t="s">
        <v>322</v>
      </c>
      <c r="G59" s="41"/>
      <c r="H59" s="67" t="s">
        <v>318</v>
      </c>
      <c r="I59" s="41"/>
      <c r="J59" s="67" t="s">
        <v>319</v>
      </c>
      <c r="K59" s="41"/>
      <c r="L59" s="67" t="s">
        <v>320</v>
      </c>
      <c r="M59" s="180"/>
      <c r="N59" s="67" t="s">
        <v>469</v>
      </c>
      <c r="O59" s="510"/>
      <c r="P59" s="590" t="s">
        <v>427</v>
      </c>
      <c r="Q59" s="12"/>
      <c r="R59" s="12"/>
      <c r="S59" s="12"/>
      <c r="T59" s="12"/>
    </row>
    <row r="60" spans="1:20">
      <c r="A60" s="63" t="s">
        <v>173</v>
      </c>
      <c r="B60" s="63"/>
      <c r="C60" s="41"/>
      <c r="D60" s="66" t="s">
        <v>181</v>
      </c>
      <c r="E60" s="41"/>
      <c r="F60" s="66" t="s">
        <v>195</v>
      </c>
      <c r="G60" s="41"/>
      <c r="H60" s="66" t="s">
        <v>191</v>
      </c>
      <c r="I60" s="41"/>
      <c r="J60" s="66" t="s">
        <v>202</v>
      </c>
      <c r="K60" s="41"/>
      <c r="L60" s="66" t="s">
        <v>198</v>
      </c>
      <c r="M60" s="180"/>
      <c r="N60" s="90">
        <f>+L60-1</f>
        <v>-7</v>
      </c>
      <c r="O60" s="495"/>
      <c r="P60" s="90">
        <v>-8</v>
      </c>
      <c r="Q60" s="12"/>
      <c r="R60" s="12"/>
      <c r="S60" s="12"/>
      <c r="T60" s="12"/>
    </row>
    <row r="61" spans="1:20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195"/>
      <c r="N61" s="41"/>
      <c r="O61" s="41"/>
      <c r="P61" s="41"/>
      <c r="Q61" s="12"/>
      <c r="R61" s="12"/>
      <c r="S61" s="12"/>
      <c r="T61" s="12"/>
    </row>
    <row r="62" spans="1:20">
      <c r="A62" s="41" t="s">
        <v>151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195"/>
      <c r="N62" s="41"/>
      <c r="O62" s="41"/>
      <c r="P62" s="41"/>
      <c r="Q62" s="12"/>
      <c r="R62" s="12"/>
      <c r="S62" s="12"/>
      <c r="T62" s="12"/>
    </row>
    <row r="63" spans="1:20">
      <c r="A63" s="41" t="s">
        <v>23</v>
      </c>
      <c r="B63" s="41"/>
      <c r="C63" s="41"/>
      <c r="D63" s="391">
        <f>SUM(F63:P63)</f>
        <v>142727562.13031626</v>
      </c>
      <c r="E63" s="391"/>
      <c r="F63" s="391">
        <f>+Sched.A!H16</f>
        <v>88666470.080156267</v>
      </c>
      <c r="G63" s="391"/>
      <c r="H63" s="391">
        <f>+Sched.A!H18</f>
        <v>21457704.436823994</v>
      </c>
      <c r="I63" s="391"/>
      <c r="J63" s="391">
        <f>+Sched.A!H20</f>
        <v>7840831.6703520007</v>
      </c>
      <c r="K63" s="391"/>
      <c r="L63" s="391">
        <f>+Sched.A!H22</f>
        <v>7132565.6727839997</v>
      </c>
      <c r="M63" s="391"/>
      <c r="N63" s="391">
        <f>+Sched.A!H24</f>
        <v>16684990.3584</v>
      </c>
      <c r="O63" s="391"/>
      <c r="P63" s="391">
        <f>+Sched.A!H26</f>
        <v>944999.9118</v>
      </c>
      <c r="Q63" s="12">
        <f t="shared" ref="Q63:Q81" si="12">SUM(F63:P63)-D63</f>
        <v>0</v>
      </c>
      <c r="R63" s="12"/>
      <c r="S63" s="12"/>
      <c r="T63" s="12"/>
    </row>
    <row r="64" spans="1:20">
      <c r="A64" s="41" t="s">
        <v>24</v>
      </c>
      <c r="B64" s="41"/>
      <c r="C64" s="41"/>
      <c r="D64" s="283">
        <f>SUM(F64:P64)</f>
        <v>2278000</v>
      </c>
      <c r="E64" s="283"/>
      <c r="F64" s="496">
        <f>+F19</f>
        <v>1561548</v>
      </c>
      <c r="G64" s="283"/>
      <c r="H64" s="496">
        <f>+H19</f>
        <v>496931</v>
      </c>
      <c r="I64" s="283"/>
      <c r="J64" s="496">
        <f>+J19</f>
        <v>151405</v>
      </c>
      <c r="K64" s="283"/>
      <c r="L64" s="496">
        <f>+L19</f>
        <v>22285</v>
      </c>
      <c r="M64" s="283"/>
      <c r="N64" s="496">
        <f>+N19</f>
        <v>42114</v>
      </c>
      <c r="O64" s="496"/>
      <c r="P64" s="497">
        <f>+P19</f>
        <v>3717</v>
      </c>
      <c r="Q64" s="12">
        <f t="shared" si="12"/>
        <v>0</v>
      </c>
      <c r="R64" s="12"/>
      <c r="S64" s="12"/>
      <c r="T64" s="12"/>
    </row>
    <row r="65" spans="1:20">
      <c r="A65" s="41"/>
      <c r="B65" s="41"/>
      <c r="C65" s="41"/>
      <c r="D65" s="498"/>
      <c r="E65" s="283"/>
      <c r="F65" s="498"/>
      <c r="G65" s="283"/>
      <c r="H65" s="498"/>
      <c r="I65" s="283"/>
      <c r="J65" s="498"/>
      <c r="K65" s="283"/>
      <c r="L65" s="498"/>
      <c r="M65" s="499"/>
      <c r="N65" s="498"/>
      <c r="O65" s="499"/>
      <c r="P65" s="499"/>
      <c r="Q65" s="12">
        <f t="shared" si="12"/>
        <v>0</v>
      </c>
      <c r="R65" s="12"/>
      <c r="S65" s="12"/>
      <c r="T65" s="12"/>
    </row>
    <row r="66" spans="1:20">
      <c r="A66" s="41" t="s">
        <v>25</v>
      </c>
      <c r="B66" s="41"/>
      <c r="C66" s="41"/>
      <c r="D66" s="283">
        <f>D64+D63</f>
        <v>145005562.13031626</v>
      </c>
      <c r="E66" s="283"/>
      <c r="F66" s="283">
        <f>F64+F63</f>
        <v>90228018.080156267</v>
      </c>
      <c r="G66" s="283"/>
      <c r="H66" s="283">
        <f>H64+H63</f>
        <v>21954635.436823994</v>
      </c>
      <c r="I66" s="283"/>
      <c r="J66" s="283">
        <f>J64+J63</f>
        <v>7992236.6703520007</v>
      </c>
      <c r="K66" s="283"/>
      <c r="L66" s="283">
        <f>L64+L63</f>
        <v>7154850.6727839997</v>
      </c>
      <c r="M66" s="283"/>
      <c r="N66" s="283">
        <f>N64+N63</f>
        <v>16727104.3584</v>
      </c>
      <c r="O66" s="283"/>
      <c r="P66" s="283">
        <f t="shared" ref="P66" si="13">P64+P63</f>
        <v>948716.9118</v>
      </c>
      <c r="Q66" s="12">
        <f t="shared" si="12"/>
        <v>0</v>
      </c>
      <c r="R66" s="12"/>
      <c r="S66" s="12"/>
      <c r="T66" s="12"/>
    </row>
    <row r="67" spans="1:20">
      <c r="A67" s="41"/>
      <c r="B67" s="41"/>
      <c r="C67" s="41"/>
      <c r="D67" s="283"/>
      <c r="E67" s="283"/>
      <c r="F67" s="283"/>
      <c r="G67" s="283"/>
      <c r="H67" s="283"/>
      <c r="I67" s="283"/>
      <c r="J67" s="283"/>
      <c r="K67" s="283"/>
      <c r="L67" s="283"/>
      <c r="M67" s="499"/>
      <c r="N67" s="283"/>
      <c r="O67" s="283"/>
      <c r="P67" s="283"/>
      <c r="Q67" s="12">
        <f t="shared" si="12"/>
        <v>0</v>
      </c>
      <c r="R67" s="12"/>
      <c r="S67" s="12"/>
      <c r="T67" s="12"/>
    </row>
    <row r="68" spans="1:20">
      <c r="A68" s="41" t="s">
        <v>26</v>
      </c>
      <c r="B68" s="41"/>
      <c r="C68" s="41"/>
      <c r="D68" s="283">
        <f>SUM(F68:P68)</f>
        <v>98381949.388671294</v>
      </c>
      <c r="E68" s="283"/>
      <c r="F68" s="283">
        <f>+Alloc!K$213+Alloc!W$213</f>
        <v>65358744</v>
      </c>
      <c r="G68" s="283"/>
      <c r="H68" s="283">
        <f>+H23</f>
        <v>15005995</v>
      </c>
      <c r="I68" s="283"/>
      <c r="J68" s="283">
        <f>+J23</f>
        <v>5280991</v>
      </c>
      <c r="K68" s="283"/>
      <c r="L68" s="283">
        <f>+L23</f>
        <v>3992276</v>
      </c>
      <c r="M68" s="283"/>
      <c r="N68" s="283">
        <f>+N23</f>
        <v>8039067.3886712994</v>
      </c>
      <c r="O68" s="283"/>
      <c r="P68" s="283">
        <f>+P23</f>
        <v>704876</v>
      </c>
      <c r="Q68" s="12">
        <f t="shared" si="12"/>
        <v>0</v>
      </c>
      <c r="R68" s="12">
        <f>43429299-D68</f>
        <v>-54952650.388671294</v>
      </c>
      <c r="S68" s="12"/>
      <c r="T68" s="12"/>
    </row>
    <row r="69" spans="1:20">
      <c r="A69" s="41"/>
      <c r="B69" s="41"/>
      <c r="C69" s="41"/>
      <c r="D69" s="498"/>
      <c r="E69" s="283"/>
      <c r="F69" s="498"/>
      <c r="G69" s="283"/>
      <c r="H69" s="498"/>
      <c r="I69" s="283"/>
      <c r="J69" s="498"/>
      <c r="K69" s="283"/>
      <c r="L69" s="498"/>
      <c r="M69" s="499"/>
      <c r="N69" s="498"/>
      <c r="O69" s="498"/>
      <c r="P69" s="498"/>
      <c r="Q69" s="12">
        <f t="shared" si="12"/>
        <v>0</v>
      </c>
      <c r="R69" s="12"/>
      <c r="S69" s="12"/>
      <c r="T69" s="12"/>
    </row>
    <row r="70" spans="1:20">
      <c r="A70" s="41" t="s">
        <v>27</v>
      </c>
      <c r="B70" s="41"/>
      <c r="C70" s="41"/>
      <c r="D70" s="283">
        <f>D66-D68</f>
        <v>46623612.741644964</v>
      </c>
      <c r="E70" s="283"/>
      <c r="F70" s="283">
        <f>F66-F68</f>
        <v>24869274.080156267</v>
      </c>
      <c r="G70" s="283"/>
      <c r="H70" s="283">
        <f>H66-H68</f>
        <v>6948640.4368239939</v>
      </c>
      <c r="I70" s="283"/>
      <c r="J70" s="283">
        <f>J66-J68</f>
        <v>2711245.6703520007</v>
      </c>
      <c r="K70" s="283"/>
      <c r="L70" s="283">
        <f>L66-L68</f>
        <v>3162574.6727839997</v>
      </c>
      <c r="M70" s="283"/>
      <c r="N70" s="283">
        <f>N66-N68</f>
        <v>8688036.9697287008</v>
      </c>
      <c r="O70" s="283"/>
      <c r="P70" s="283">
        <f t="shared" ref="P70" si="14">P66-P68</f>
        <v>243840.9118</v>
      </c>
      <c r="Q70" s="12">
        <f t="shared" si="12"/>
        <v>0</v>
      </c>
      <c r="R70" s="12"/>
      <c r="S70" s="12"/>
      <c r="T70" s="12"/>
    </row>
    <row r="71" spans="1:20">
      <c r="A71" s="41"/>
      <c r="B71" s="41"/>
      <c r="C71" s="41"/>
      <c r="D71" s="283"/>
      <c r="E71" s="283"/>
      <c r="F71" s="283"/>
      <c r="G71" s="283"/>
      <c r="H71" s="283"/>
      <c r="I71" s="283"/>
      <c r="J71" s="283"/>
      <c r="K71" s="283"/>
      <c r="L71" s="283"/>
      <c r="M71" s="499"/>
      <c r="N71" s="283"/>
      <c r="O71" s="283"/>
      <c r="P71" s="283"/>
      <c r="Q71" s="12">
        <f t="shared" si="12"/>
        <v>0</v>
      </c>
      <c r="R71" s="12"/>
      <c r="S71" s="12"/>
      <c r="T71" s="12"/>
    </row>
    <row r="72" spans="1:20">
      <c r="A72" s="41" t="s">
        <v>28</v>
      </c>
      <c r="B72" s="41"/>
      <c r="C72" s="41"/>
      <c r="D72" s="283">
        <f>D27</f>
        <v>11953000</v>
      </c>
      <c r="E72" s="283"/>
      <c r="F72" s="283">
        <f>ROUND(F88*$D72,0)</f>
        <v>7224393</v>
      </c>
      <c r="G72" s="283"/>
      <c r="H72" s="283">
        <f>ROUND(H88*$D72,0)</f>
        <v>2164688</v>
      </c>
      <c r="I72" s="283"/>
      <c r="J72" s="283">
        <f>ROUND(J88*$D72,0)</f>
        <v>782922</v>
      </c>
      <c r="K72" s="283"/>
      <c r="L72" s="283">
        <f>ROUND(L88*$D72,0)</f>
        <v>616775</v>
      </c>
      <c r="M72" s="283"/>
      <c r="N72" s="283">
        <f>ROUND(N88*$D72,0)</f>
        <v>1069794</v>
      </c>
      <c r="O72" s="283"/>
      <c r="P72" s="283">
        <f t="shared" ref="P72" si="15">ROUND(P88*$D72,0)</f>
        <v>95624</v>
      </c>
      <c r="Q72" s="12">
        <f t="shared" si="12"/>
        <v>1196</v>
      </c>
      <c r="R72" s="12"/>
      <c r="S72" s="12"/>
      <c r="T72" s="12"/>
    </row>
    <row r="73" spans="1:20">
      <c r="A73" s="41"/>
      <c r="B73" s="41"/>
      <c r="C73" s="41"/>
      <c r="D73" s="498"/>
      <c r="E73" s="283"/>
      <c r="F73" s="498"/>
      <c r="G73" s="283"/>
      <c r="H73" s="498"/>
      <c r="I73" s="283"/>
      <c r="J73" s="498"/>
      <c r="K73" s="283"/>
      <c r="L73" s="498"/>
      <c r="M73" s="499"/>
      <c r="N73" s="498"/>
      <c r="O73" s="498"/>
      <c r="P73" s="498"/>
      <c r="Q73" s="12">
        <f t="shared" si="12"/>
        <v>0</v>
      </c>
      <c r="R73" s="12"/>
      <c r="S73" s="12"/>
      <c r="T73" s="12"/>
    </row>
    <row r="74" spans="1:20">
      <c r="A74" s="41" t="s">
        <v>29</v>
      </c>
      <c r="B74" s="41"/>
      <c r="C74" s="41"/>
      <c r="D74" s="283">
        <f>D70-D72</f>
        <v>34670612.741644964</v>
      </c>
      <c r="E74" s="283"/>
      <c r="F74" s="283">
        <f>F70-F72</f>
        <v>17644881.080156267</v>
      </c>
      <c r="G74" s="283"/>
      <c r="H74" s="283">
        <f>H70-H72</f>
        <v>4783952.4368239939</v>
      </c>
      <c r="I74" s="283"/>
      <c r="J74" s="283">
        <f>J70-J72</f>
        <v>1928323.6703520007</v>
      </c>
      <c r="K74" s="283"/>
      <c r="L74" s="283">
        <f>L70-L72</f>
        <v>2545799.6727839997</v>
      </c>
      <c r="M74" s="283"/>
      <c r="N74" s="283">
        <f>N70-N72</f>
        <v>7618242.9697287008</v>
      </c>
      <c r="O74" s="283"/>
      <c r="P74" s="283">
        <f t="shared" ref="P74" si="16">P70-P72</f>
        <v>148216.9118</v>
      </c>
      <c r="Q74" s="12">
        <f t="shared" si="12"/>
        <v>-1196</v>
      </c>
      <c r="R74" s="12"/>
      <c r="S74" s="12"/>
      <c r="T74" s="12"/>
    </row>
    <row r="75" spans="1:20">
      <c r="A75" s="41"/>
      <c r="B75" s="41"/>
      <c r="C75" s="41"/>
      <c r="D75" s="283"/>
      <c r="E75" s="283"/>
      <c r="F75" s="283"/>
      <c r="G75" s="283"/>
      <c r="H75" s="283"/>
      <c r="I75" s="283"/>
      <c r="J75" s="283"/>
      <c r="K75" s="283"/>
      <c r="L75" s="283"/>
      <c r="M75" s="499"/>
      <c r="N75" s="283"/>
      <c r="O75" s="283"/>
      <c r="P75" s="283"/>
      <c r="Q75" s="12">
        <f t="shared" si="12"/>
        <v>0</v>
      </c>
      <c r="R75" s="12"/>
      <c r="S75" s="12"/>
      <c r="T75" s="12"/>
    </row>
    <row r="76" spans="1:20">
      <c r="A76" s="41" t="s">
        <v>30</v>
      </c>
      <c r="B76" s="41"/>
      <c r="C76" s="41"/>
      <c r="D76" s="283">
        <f>+Alloc!A215*1000</f>
        <v>12709193.406883065</v>
      </c>
      <c r="E76" s="283"/>
      <c r="F76" s="496">
        <f>ROUND(+F89*$D76,0)</f>
        <v>6468979</v>
      </c>
      <c r="G76" s="283"/>
      <c r="H76" s="283">
        <f>ROUND(+H89*$D76,0)</f>
        <v>1753869</v>
      </c>
      <c r="I76" s="283"/>
      <c r="J76" s="283">
        <f>ROUND(+J89*$D76,0)</f>
        <v>706631</v>
      </c>
      <c r="K76" s="283"/>
      <c r="L76" s="283">
        <f>ROUND(+L89*$D76,0)</f>
        <v>932855</v>
      </c>
      <c r="M76" s="283"/>
      <c r="N76" s="283">
        <f>ROUND(+N89*$D76,0)</f>
        <v>2792210</v>
      </c>
      <c r="O76" s="283"/>
      <c r="P76" s="283">
        <f t="shared" ref="P76" si="17">ROUND(+P89*$D76,0)</f>
        <v>54650</v>
      </c>
      <c r="Q76" s="12">
        <f t="shared" si="12"/>
        <v>0.59311693534255028</v>
      </c>
      <c r="R76" s="12"/>
      <c r="S76" s="12"/>
      <c r="T76" s="12"/>
    </row>
    <row r="77" spans="1:20">
      <c r="A77" s="41"/>
      <c r="B77" s="41"/>
      <c r="C77" s="41"/>
      <c r="D77" s="283"/>
      <c r="E77" s="283"/>
      <c r="F77" s="283"/>
      <c r="G77" s="283"/>
      <c r="H77" s="283"/>
      <c r="I77" s="283"/>
      <c r="J77" s="283"/>
      <c r="K77" s="283"/>
      <c r="L77" s="283"/>
      <c r="M77" s="499"/>
      <c r="N77" s="283"/>
      <c r="O77" s="283"/>
      <c r="P77" s="283"/>
      <c r="Q77" s="12">
        <f t="shared" si="12"/>
        <v>0</v>
      </c>
      <c r="R77" s="12"/>
      <c r="S77" s="12"/>
      <c r="T77" s="12"/>
    </row>
    <row r="78" spans="1:20">
      <c r="A78" s="41" t="s">
        <v>31</v>
      </c>
      <c r="B78" s="41"/>
      <c r="C78" s="41"/>
      <c r="D78" s="283">
        <f>D70-D76</f>
        <v>33914419.334761903</v>
      </c>
      <c r="E78" s="283"/>
      <c r="F78" s="283">
        <f>F70-F76</f>
        <v>18400295.080156267</v>
      </c>
      <c r="G78" s="283"/>
      <c r="H78" s="283">
        <f>H70-H76</f>
        <v>5194771.4368239939</v>
      </c>
      <c r="I78" s="283"/>
      <c r="J78" s="283">
        <f>J70-J76</f>
        <v>2004614.6703520007</v>
      </c>
      <c r="K78" s="283"/>
      <c r="L78" s="283">
        <f>L70-L76</f>
        <v>2229719.6727839997</v>
      </c>
      <c r="M78" s="283"/>
      <c r="N78" s="283">
        <f>N70-N76</f>
        <v>5895826.9697287008</v>
      </c>
      <c r="O78" s="283"/>
      <c r="P78" s="283">
        <f t="shared" ref="P78" si="18">P70-P76</f>
        <v>189190.9118</v>
      </c>
      <c r="Q78" s="12">
        <f t="shared" si="12"/>
        <v>-0.59311693906784058</v>
      </c>
      <c r="R78" s="12"/>
      <c r="S78" s="12"/>
      <c r="T78" s="12"/>
    </row>
    <row r="79" spans="1:20">
      <c r="A79" s="41"/>
      <c r="B79" s="41"/>
      <c r="C79" s="41"/>
      <c r="D79" s="283"/>
      <c r="E79" s="283"/>
      <c r="F79" s="283"/>
      <c r="G79" s="283"/>
      <c r="H79" s="283"/>
      <c r="I79" s="283"/>
      <c r="J79" s="283"/>
      <c r="K79" s="283"/>
      <c r="L79" s="283"/>
      <c r="M79" s="499"/>
      <c r="N79" s="283"/>
      <c r="O79" s="283"/>
      <c r="P79" s="283"/>
      <c r="Q79" s="12">
        <f t="shared" si="12"/>
        <v>0</v>
      </c>
      <c r="R79" s="12"/>
      <c r="S79" s="12"/>
      <c r="T79" s="12"/>
    </row>
    <row r="80" spans="1:20">
      <c r="A80" s="41" t="s">
        <v>32</v>
      </c>
      <c r="B80" s="41"/>
      <c r="C80" s="41"/>
      <c r="D80" s="283"/>
      <c r="E80" s="283"/>
      <c r="F80" s="283"/>
      <c r="G80" s="283"/>
      <c r="H80" s="283"/>
      <c r="I80" s="283"/>
      <c r="J80" s="283"/>
      <c r="K80" s="283"/>
      <c r="L80" s="283"/>
      <c r="M80" s="499"/>
      <c r="N80" s="283"/>
      <c r="O80" s="283"/>
      <c r="P80" s="283"/>
      <c r="Q80" s="12">
        <f t="shared" si="12"/>
        <v>0</v>
      </c>
      <c r="R80" s="12"/>
      <c r="S80" s="12"/>
      <c r="T80" s="12"/>
    </row>
    <row r="81" spans="1:20">
      <c r="A81" s="41" t="s">
        <v>33</v>
      </c>
      <c r="B81" s="41"/>
      <c r="C81" s="41"/>
      <c r="D81" s="283">
        <f>SUM(F81:P81)</f>
        <v>555974811.1496737</v>
      </c>
      <c r="E81" s="283"/>
      <c r="F81" s="283">
        <f>F36</f>
        <v>335990016</v>
      </c>
      <c r="G81" s="283"/>
      <c r="H81" s="283">
        <f>H36</f>
        <v>100683018</v>
      </c>
      <c r="I81" s="283"/>
      <c r="J81" s="283">
        <f>J36</f>
        <v>36426584</v>
      </c>
      <c r="K81" s="283"/>
      <c r="L81" s="283">
        <f>L36</f>
        <v>28667894</v>
      </c>
      <c r="M81" s="283"/>
      <c r="N81" s="283">
        <f>N36</f>
        <v>49737198.149673641</v>
      </c>
      <c r="O81" s="283"/>
      <c r="P81" s="283">
        <f>P36</f>
        <v>4470101</v>
      </c>
      <c r="Q81" s="12">
        <f t="shared" si="12"/>
        <v>0</v>
      </c>
      <c r="R81" s="12"/>
      <c r="S81" s="12"/>
      <c r="T81" s="12"/>
    </row>
    <row r="82" spans="1:20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195"/>
      <c r="N82" s="41"/>
      <c r="O82" s="41"/>
      <c r="P82" s="41"/>
      <c r="Q82" s="12"/>
      <c r="R82" s="12"/>
      <c r="S82" s="12"/>
      <c r="T82" s="12"/>
    </row>
    <row r="83" spans="1:20">
      <c r="A83" s="41" t="s">
        <v>34</v>
      </c>
      <c r="B83" s="41"/>
      <c r="C83" s="41"/>
      <c r="D83" s="83">
        <f>D78/D81</f>
        <v>6.0999920598258574E-2</v>
      </c>
      <c r="E83" s="41"/>
      <c r="F83" s="83">
        <f>F78/F81</f>
        <v>5.4764410261989055E-2</v>
      </c>
      <c r="G83" s="41"/>
      <c r="H83" s="83">
        <f>H78/H81</f>
        <v>5.1595309119796089E-2</v>
      </c>
      <c r="I83" s="41"/>
      <c r="J83" s="83">
        <f>J78/J81</f>
        <v>5.5031640363312706E-2</v>
      </c>
      <c r="K83" s="41"/>
      <c r="L83" s="83">
        <f>L78/L81</f>
        <v>7.7777588851974958E-2</v>
      </c>
      <c r="M83" s="41"/>
      <c r="N83" s="83">
        <f>N78/N81</f>
        <v>0.11853958785507879</v>
      </c>
      <c r="O83" s="83"/>
      <c r="P83" s="83">
        <f t="shared" ref="P83" si="19">P78/P81</f>
        <v>4.2323632463785496E-2</v>
      </c>
      <c r="Q83" s="12"/>
      <c r="R83" s="12"/>
      <c r="S83" s="12"/>
      <c r="T83" s="12"/>
    </row>
    <row r="84" spans="1:20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12"/>
      <c r="R84" s="12"/>
      <c r="S84" s="12"/>
      <c r="T84" s="12"/>
    </row>
    <row r="85" spans="1:20">
      <c r="A85" s="41" t="s">
        <v>35</v>
      </c>
      <c r="B85" s="41"/>
      <c r="C85" s="41"/>
      <c r="D85" s="84">
        <f>D83/$D$83</f>
        <v>1</v>
      </c>
      <c r="E85" s="41"/>
      <c r="F85" s="84">
        <f>F83/$D$83</f>
        <v>0.8977783860189561</v>
      </c>
      <c r="G85" s="41"/>
      <c r="H85" s="84">
        <f>H83/$D$83</f>
        <v>0.84582584065312749</v>
      </c>
      <c r="I85" s="41"/>
      <c r="J85" s="84">
        <f>J83/$D$83</f>
        <v>0.90215921305451252</v>
      </c>
      <c r="K85" s="41"/>
      <c r="L85" s="84">
        <f>L83/$D$83</f>
        <v>1.2750440998802768</v>
      </c>
      <c r="M85" s="41"/>
      <c r="N85" s="84">
        <f>N83/$D$83</f>
        <v>1.9432744615484443</v>
      </c>
      <c r="O85" s="84"/>
      <c r="P85" s="84">
        <f>P83/$D$83</f>
        <v>0.69383094352738794</v>
      </c>
      <c r="Q85" s="12"/>
      <c r="R85" s="12"/>
      <c r="S85" s="12"/>
      <c r="T85" s="12"/>
    </row>
    <row r="86" spans="1:20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195"/>
      <c r="N86" s="41"/>
      <c r="O86" s="41"/>
      <c r="P86" s="41"/>
      <c r="Q86" s="12"/>
      <c r="R86" s="12"/>
      <c r="S86" s="12"/>
      <c r="T86" s="12"/>
    </row>
    <row r="87" spans="1:20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82"/>
      <c r="N87" s="12"/>
      <c r="O87" s="12"/>
      <c r="P87" s="12"/>
      <c r="Q87" s="12"/>
      <c r="R87" s="12"/>
      <c r="S87" s="12"/>
      <c r="T87" s="12"/>
    </row>
    <row r="88" spans="1:20">
      <c r="A88" s="72" t="s">
        <v>36</v>
      </c>
      <c r="B88" s="12"/>
      <c r="C88" s="12"/>
      <c r="D88" s="12"/>
      <c r="E88" s="12"/>
      <c r="F88" s="87">
        <f>ROUND(+F81/$D81,4)+0.0001</f>
        <v>0.60439999999999994</v>
      </c>
      <c r="G88" s="12"/>
      <c r="H88" s="87">
        <f>ROUND(+H81/$D81,4)</f>
        <v>0.18110000000000001</v>
      </c>
      <c r="I88" s="12"/>
      <c r="J88" s="87">
        <f>ROUND(+J81/$D81,4)</f>
        <v>6.5500000000000003E-2</v>
      </c>
      <c r="K88" s="12"/>
      <c r="L88" s="87">
        <f>ROUND(+L81/$D81,4)</f>
        <v>5.16E-2</v>
      </c>
      <c r="M88" s="12"/>
      <c r="N88" s="87">
        <f>ROUND(+N81/$D81,4)</f>
        <v>8.9499999999999996E-2</v>
      </c>
      <c r="O88" s="87"/>
      <c r="P88" s="87">
        <f t="shared" ref="P88" si="20">ROUND(+P81/$D81,4)</f>
        <v>8.0000000000000002E-3</v>
      </c>
      <c r="Q88" s="81">
        <f>SUM(F88:P88)</f>
        <v>1.0001</v>
      </c>
      <c r="R88" s="12"/>
      <c r="S88" s="12"/>
      <c r="T88" s="12"/>
    </row>
    <row r="89" spans="1:20">
      <c r="A89" s="72" t="s">
        <v>37</v>
      </c>
      <c r="B89" s="12"/>
      <c r="C89" s="12"/>
      <c r="D89" s="12"/>
      <c r="E89" s="12"/>
      <c r="F89" s="87">
        <f>ROUND(+F74/$D74,4)+0.0001</f>
        <v>0.50900000000000001</v>
      </c>
      <c r="G89" s="12"/>
      <c r="H89" s="87">
        <f>ROUND(+H74/$D74,4)</f>
        <v>0.13800000000000001</v>
      </c>
      <c r="I89" s="12"/>
      <c r="J89" s="87">
        <f>ROUND(+J74/$D74,4)</f>
        <v>5.5599999999999997E-2</v>
      </c>
      <c r="K89" s="12"/>
      <c r="L89" s="87">
        <f>ROUND(+L74/$D74,4)</f>
        <v>7.3400000000000007E-2</v>
      </c>
      <c r="M89" s="12"/>
      <c r="N89" s="87">
        <f>ROUND(+N74/$D74,4)</f>
        <v>0.21970000000000001</v>
      </c>
      <c r="O89" s="87"/>
      <c r="P89" s="87">
        <f t="shared" ref="P89" si="21">ROUND(+P74/$D74,4)</f>
        <v>4.3E-3</v>
      </c>
      <c r="Q89" s="81">
        <f>SUM(F89:P89)</f>
        <v>1</v>
      </c>
      <c r="R89" s="12"/>
      <c r="S89" s="12"/>
      <c r="T89" s="12"/>
    </row>
    <row r="90" spans="1:20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82"/>
      <c r="N90" s="12"/>
      <c r="O90" s="12"/>
      <c r="P90" s="12"/>
      <c r="Q90" s="12"/>
      <c r="R90" s="12"/>
      <c r="S90" s="12"/>
      <c r="T90" s="12"/>
    </row>
    <row r="91" spans="1:20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82"/>
      <c r="N91" s="12"/>
      <c r="O91" s="12"/>
      <c r="P91" s="12"/>
      <c r="Q91" s="12"/>
      <c r="R91" s="12"/>
      <c r="S91" s="12"/>
      <c r="T91" s="12"/>
    </row>
    <row r="92" spans="1:20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82"/>
      <c r="N92" s="12"/>
      <c r="O92" s="12"/>
      <c r="P92" s="12"/>
      <c r="Q92" s="12"/>
      <c r="R92" s="12"/>
      <c r="S92" s="12"/>
      <c r="T92" s="12"/>
    </row>
    <row r="93" spans="1:20">
      <c r="A93" s="182"/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2"/>
      <c r="S93" s="12"/>
      <c r="T93" s="12"/>
    </row>
    <row r="94" spans="1:20">
      <c r="A94" s="182"/>
      <c r="B94" s="182"/>
      <c r="C94" s="182"/>
      <c r="D94" s="195"/>
      <c r="E94" s="182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82"/>
      <c r="R94" s="12"/>
      <c r="S94" s="12"/>
      <c r="T94" s="12"/>
    </row>
    <row r="95" spans="1:20">
      <c r="A95" s="182"/>
      <c r="B95" s="182"/>
      <c r="C95" s="182"/>
      <c r="D95" s="182"/>
      <c r="E95" s="182"/>
      <c r="F95" s="182"/>
      <c r="G95" s="182"/>
      <c r="H95" s="182"/>
      <c r="I95" s="182"/>
      <c r="J95" s="182"/>
      <c r="K95" s="182"/>
      <c r="L95" s="182"/>
      <c r="M95" s="182"/>
      <c r="N95" s="182"/>
      <c r="O95" s="182"/>
      <c r="P95" s="182"/>
      <c r="Q95" s="182"/>
      <c r="R95" s="12"/>
      <c r="S95" s="12"/>
      <c r="T95" s="12"/>
    </row>
    <row r="96" spans="1:20">
      <c r="A96" s="182"/>
      <c r="B96" s="182"/>
      <c r="C96" s="182"/>
      <c r="D96" s="182"/>
      <c r="E96" s="182"/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2"/>
      <c r="S96" s="12"/>
      <c r="T96" s="12"/>
    </row>
    <row r="97" spans="1:20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82"/>
      <c r="N97" s="12"/>
      <c r="O97" s="12"/>
      <c r="P97" s="12"/>
      <c r="Q97" s="12"/>
      <c r="R97" s="12"/>
      <c r="S97" s="12"/>
      <c r="T97" s="12"/>
    </row>
    <row r="98" spans="1:20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82"/>
      <c r="N98" s="12"/>
      <c r="O98" s="12"/>
      <c r="P98" s="12"/>
      <c r="Q98" s="12"/>
      <c r="R98" s="12"/>
      <c r="S98" s="12"/>
      <c r="T98" s="12"/>
    </row>
    <row r="99" spans="1:20" ht="15.75">
      <c r="A99" s="100" t="str">
        <f>IF($C$2=1,"make sure cell C2 = 2 for Proposed ROR", "OK")</f>
        <v>OK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82"/>
      <c r="N99" s="12"/>
      <c r="O99" s="12"/>
      <c r="P99" s="12"/>
      <c r="Q99" s="12"/>
      <c r="R99" s="12"/>
      <c r="S99" s="12"/>
      <c r="T99" s="12"/>
    </row>
    <row r="100" spans="1:20">
      <c r="A100" s="600" t="s">
        <v>635</v>
      </c>
      <c r="B100" s="612"/>
      <c r="C100" s="612"/>
      <c r="D100" s="612"/>
      <c r="E100" s="612"/>
      <c r="F100" s="612"/>
      <c r="G100" s="612"/>
      <c r="H100" s="612"/>
      <c r="I100" s="612"/>
      <c r="J100" s="612"/>
      <c r="K100" s="612"/>
      <c r="L100" s="612"/>
      <c r="M100" s="613"/>
      <c r="N100" s="612"/>
      <c r="O100" s="612"/>
      <c r="P100" s="612"/>
      <c r="Q100" s="12"/>
      <c r="R100" s="12"/>
      <c r="S100" s="12"/>
      <c r="T100" s="12"/>
    </row>
    <row r="101" spans="1:20" ht="15.75">
      <c r="A101" s="601"/>
      <c r="B101" s="612"/>
      <c r="C101" s="612"/>
      <c r="D101" s="612"/>
      <c r="E101" s="612"/>
      <c r="F101" s="612"/>
      <c r="G101" s="612"/>
      <c r="H101" s="612"/>
      <c r="I101" s="612"/>
      <c r="J101" s="612"/>
      <c r="K101" s="602"/>
      <c r="L101" s="612"/>
      <c r="M101" s="613"/>
      <c r="N101" s="612"/>
      <c r="O101" s="612"/>
      <c r="P101" s="612"/>
      <c r="Q101" s="12"/>
      <c r="R101" s="12"/>
      <c r="S101" s="12"/>
      <c r="T101" s="12"/>
    </row>
    <row r="102" spans="1:20">
      <c r="A102" s="600" t="s">
        <v>20</v>
      </c>
      <c r="B102" s="600"/>
      <c r="C102" s="600"/>
      <c r="D102" s="600"/>
      <c r="E102" s="600"/>
      <c r="F102" s="600"/>
      <c r="G102" s="600"/>
      <c r="H102" s="600"/>
      <c r="I102" s="600"/>
      <c r="J102" s="600"/>
      <c r="K102" s="600"/>
      <c r="L102" s="600"/>
      <c r="M102" s="614"/>
      <c r="N102" s="600"/>
      <c r="O102" s="600"/>
      <c r="P102" s="600"/>
      <c r="Q102" s="12"/>
      <c r="R102" s="12"/>
      <c r="S102" s="12"/>
      <c r="T102" s="12"/>
    </row>
    <row r="103" spans="1:20" ht="15.75">
      <c r="A103" s="733" t="s">
        <v>21</v>
      </c>
      <c r="B103" s="600"/>
      <c r="C103" s="600"/>
      <c r="D103" s="600"/>
      <c r="E103" s="600"/>
      <c r="F103" s="733"/>
      <c r="G103" s="600"/>
      <c r="H103" s="600"/>
      <c r="I103" s="600"/>
      <c r="J103" s="600"/>
      <c r="K103" s="600"/>
      <c r="L103" s="600"/>
      <c r="M103" s="614"/>
      <c r="N103" s="600"/>
      <c r="O103" s="600"/>
      <c r="P103" s="600"/>
      <c r="Q103" s="12"/>
      <c r="R103" s="12"/>
      <c r="S103" s="12"/>
      <c r="T103" s="12"/>
    </row>
    <row r="104" spans="1:20">
      <c r="A104" s="615"/>
      <c r="B104" s="600"/>
      <c r="C104" s="600"/>
      <c r="D104" s="600"/>
      <c r="E104" s="600"/>
      <c r="F104" s="600"/>
      <c r="G104" s="600"/>
      <c r="H104" s="600"/>
      <c r="I104" s="600"/>
      <c r="J104" s="600"/>
      <c r="K104" s="600"/>
      <c r="L104" s="600"/>
      <c r="M104" s="614"/>
      <c r="N104" s="600"/>
      <c r="O104" s="600"/>
      <c r="P104" s="600"/>
      <c r="Q104" s="12"/>
      <c r="R104" s="12"/>
      <c r="S104" s="12"/>
      <c r="T104" s="12"/>
    </row>
    <row r="105" spans="1:20">
      <c r="A105" s="603"/>
      <c r="B105" s="603"/>
      <c r="C105" s="603"/>
      <c r="D105" s="606" t="s">
        <v>594</v>
      </c>
      <c r="E105" s="603"/>
      <c r="F105" s="603"/>
      <c r="G105" s="603"/>
      <c r="H105" s="606"/>
      <c r="I105" s="603"/>
      <c r="J105" s="606"/>
      <c r="K105" s="603"/>
      <c r="L105" s="606"/>
      <c r="M105" s="616"/>
      <c r="N105" s="606"/>
      <c r="O105" s="606"/>
      <c r="P105" s="606"/>
      <c r="Q105" s="12"/>
      <c r="R105" s="12"/>
      <c r="S105" s="12"/>
      <c r="T105" s="12"/>
    </row>
    <row r="106" spans="1:20">
      <c r="A106" s="603"/>
      <c r="B106" s="603"/>
      <c r="C106" s="603"/>
      <c r="D106" s="606" t="s">
        <v>216</v>
      </c>
      <c r="E106" s="603"/>
      <c r="F106" s="606"/>
      <c r="G106" s="603"/>
      <c r="H106" s="606"/>
      <c r="I106" s="603"/>
      <c r="J106" s="606"/>
      <c r="K106" s="603"/>
      <c r="L106" s="606"/>
      <c r="M106" s="616"/>
      <c r="N106" s="606"/>
      <c r="O106" s="606"/>
      <c r="P106" s="606"/>
      <c r="Q106" s="12"/>
      <c r="R106" s="12"/>
      <c r="S106" s="12"/>
      <c r="T106" s="12"/>
    </row>
    <row r="107" spans="1:20">
      <c r="A107" s="600" t="s">
        <v>22</v>
      </c>
      <c r="B107" s="600"/>
      <c r="C107" s="603"/>
      <c r="D107" s="606" t="s">
        <v>595</v>
      </c>
      <c r="E107" s="603"/>
      <c r="F107" s="606" t="s">
        <v>322</v>
      </c>
      <c r="G107" s="603"/>
      <c r="H107" s="606" t="s">
        <v>318</v>
      </c>
      <c r="I107" s="603"/>
      <c r="J107" s="606" t="s">
        <v>319</v>
      </c>
      <c r="K107" s="603"/>
      <c r="L107" s="606" t="s">
        <v>320</v>
      </c>
      <c r="M107" s="616"/>
      <c r="N107" s="606" t="s">
        <v>469</v>
      </c>
      <c r="O107" s="606"/>
      <c r="P107" s="606" t="s">
        <v>427</v>
      </c>
    </row>
    <row r="108" spans="1:20">
      <c r="A108" s="604" t="s">
        <v>173</v>
      </c>
      <c r="B108" s="604"/>
      <c r="C108" s="603"/>
      <c r="D108" s="605" t="s">
        <v>181</v>
      </c>
      <c r="E108" s="603"/>
      <c r="F108" s="605" t="s">
        <v>195</v>
      </c>
      <c r="G108" s="603"/>
      <c r="H108" s="605" t="s">
        <v>191</v>
      </c>
      <c r="I108" s="603"/>
      <c r="J108" s="605" t="s">
        <v>202</v>
      </c>
      <c r="K108" s="603"/>
      <c r="L108" s="605" t="s">
        <v>198</v>
      </c>
      <c r="M108" s="616"/>
      <c r="N108" s="607">
        <f>+L108-1</f>
        <v>-7</v>
      </c>
      <c r="O108" s="607"/>
      <c r="P108" s="607">
        <v>-8</v>
      </c>
    </row>
    <row r="109" spans="1:20" ht="10.15" customHeight="1">
      <c r="A109" s="611"/>
      <c r="B109" s="611"/>
      <c r="C109" s="611"/>
      <c r="D109" s="611"/>
      <c r="E109" s="611"/>
      <c r="F109" s="611"/>
      <c r="G109" s="611"/>
      <c r="H109" s="611"/>
      <c r="I109" s="611"/>
      <c r="J109" s="611"/>
      <c r="K109" s="611"/>
      <c r="L109" s="617"/>
      <c r="M109" s="617"/>
      <c r="N109" s="617"/>
      <c r="O109" s="617"/>
      <c r="P109" s="617"/>
    </row>
    <row r="110" spans="1:20">
      <c r="A110" s="603" t="s">
        <v>151</v>
      </c>
      <c r="B110" s="603"/>
      <c r="C110" s="603"/>
      <c r="D110" s="611"/>
      <c r="E110" s="611"/>
      <c r="F110" s="611"/>
      <c r="G110" s="611"/>
      <c r="H110" s="611"/>
      <c r="I110" s="611"/>
      <c r="J110" s="611"/>
      <c r="K110" s="611"/>
      <c r="L110" s="617"/>
      <c r="M110" s="617"/>
      <c r="N110" s="617"/>
      <c r="O110" s="617"/>
      <c r="P110" s="617"/>
    </row>
    <row r="111" spans="1:20">
      <c r="A111" s="603" t="s">
        <v>23</v>
      </c>
      <c r="B111" s="603"/>
      <c r="C111" s="603"/>
      <c r="D111" s="618">
        <f t="shared" ref="D111:P111" si="22">+D18</f>
        <v>164388423.45416647</v>
      </c>
      <c r="E111" s="618">
        <f t="shared" si="22"/>
        <v>0</v>
      </c>
      <c r="F111" s="618">
        <f t="shared" si="22"/>
        <v>103680686.67270669</v>
      </c>
      <c r="G111" s="618">
        <f t="shared" si="22"/>
        <v>0</v>
      </c>
      <c r="H111" s="618">
        <f>+H18</f>
        <v>26222989</v>
      </c>
      <c r="I111" s="618">
        <f t="shared" si="22"/>
        <v>0</v>
      </c>
      <c r="J111" s="618">
        <f t="shared" si="22"/>
        <v>9464319.0010000002</v>
      </c>
      <c r="K111" s="618">
        <f t="shared" si="22"/>
        <v>0</v>
      </c>
      <c r="L111" s="618">
        <f t="shared" si="22"/>
        <v>7553329.7804598045</v>
      </c>
      <c r="M111" s="618">
        <f t="shared" si="22"/>
        <v>0</v>
      </c>
      <c r="N111" s="618">
        <f t="shared" si="22"/>
        <v>16550361</v>
      </c>
      <c r="O111" s="618">
        <f t="shared" si="22"/>
        <v>0</v>
      </c>
      <c r="P111" s="618">
        <f t="shared" si="22"/>
        <v>916738</v>
      </c>
      <c r="Q111" s="12">
        <f t="shared" ref="Q111:Q129" si="23">SUM(F111:P111)-D111</f>
        <v>0</v>
      </c>
    </row>
    <row r="112" spans="1:20">
      <c r="A112" s="603" t="s">
        <v>24</v>
      </c>
      <c r="B112" s="603"/>
      <c r="C112" s="603"/>
      <c r="D112" s="619">
        <f t="shared" ref="D112:P112" si="24">+D19</f>
        <v>2278000</v>
      </c>
      <c r="E112" s="620">
        <f t="shared" si="24"/>
        <v>0</v>
      </c>
      <c r="F112" s="619">
        <f t="shared" si="24"/>
        <v>1561548</v>
      </c>
      <c r="G112" s="620">
        <f t="shared" si="24"/>
        <v>0</v>
      </c>
      <c r="H112" s="619">
        <f t="shared" si="24"/>
        <v>496931</v>
      </c>
      <c r="I112" s="620">
        <f t="shared" si="24"/>
        <v>0</v>
      </c>
      <c r="J112" s="619">
        <f t="shared" si="24"/>
        <v>151405</v>
      </c>
      <c r="K112" s="620">
        <f t="shared" si="24"/>
        <v>0</v>
      </c>
      <c r="L112" s="619">
        <f t="shared" si="24"/>
        <v>22285</v>
      </c>
      <c r="M112" s="620">
        <f t="shared" si="24"/>
        <v>0</v>
      </c>
      <c r="N112" s="619">
        <f t="shared" si="24"/>
        <v>42114</v>
      </c>
      <c r="O112" s="620">
        <f t="shared" si="24"/>
        <v>0</v>
      </c>
      <c r="P112" s="619">
        <f t="shared" si="24"/>
        <v>3717</v>
      </c>
      <c r="Q112" s="12">
        <f t="shared" si="23"/>
        <v>0</v>
      </c>
    </row>
    <row r="113" spans="1:17">
      <c r="A113" s="603"/>
      <c r="B113" s="603"/>
      <c r="C113" s="603"/>
      <c r="D113" s="611"/>
      <c r="E113" s="611"/>
      <c r="F113" s="611"/>
      <c r="G113" s="611"/>
      <c r="H113" s="611"/>
      <c r="I113" s="611"/>
      <c r="J113" s="611"/>
      <c r="K113" s="611"/>
      <c r="L113" s="617"/>
      <c r="M113" s="617"/>
      <c r="N113" s="617"/>
      <c r="O113" s="617"/>
      <c r="P113" s="617"/>
      <c r="Q113" s="12">
        <f t="shared" si="23"/>
        <v>0</v>
      </c>
    </row>
    <row r="114" spans="1:17">
      <c r="A114" s="603" t="s">
        <v>25</v>
      </c>
      <c r="B114" s="603"/>
      <c r="C114" s="603"/>
      <c r="D114" s="620">
        <f>+D112+D111</f>
        <v>166666423.45416647</v>
      </c>
      <c r="E114" s="620">
        <f t="shared" ref="E114:P114" si="25">+E112+E111</f>
        <v>0</v>
      </c>
      <c r="F114" s="620">
        <f t="shared" si="25"/>
        <v>105242234.67270669</v>
      </c>
      <c r="G114" s="620">
        <f t="shared" si="25"/>
        <v>0</v>
      </c>
      <c r="H114" s="620">
        <f t="shared" si="25"/>
        <v>26719920</v>
      </c>
      <c r="I114" s="620">
        <f t="shared" si="25"/>
        <v>0</v>
      </c>
      <c r="J114" s="620">
        <f t="shared" si="25"/>
        <v>9615724.0010000002</v>
      </c>
      <c r="K114" s="620">
        <f t="shared" si="25"/>
        <v>0</v>
      </c>
      <c r="L114" s="620">
        <f t="shared" si="25"/>
        <v>7575614.7804598045</v>
      </c>
      <c r="M114" s="620">
        <f t="shared" si="25"/>
        <v>0</v>
      </c>
      <c r="N114" s="620">
        <f t="shared" si="25"/>
        <v>16592475</v>
      </c>
      <c r="O114" s="620">
        <f t="shared" si="25"/>
        <v>0</v>
      </c>
      <c r="P114" s="620">
        <f t="shared" si="25"/>
        <v>920455</v>
      </c>
      <c r="Q114" s="12">
        <f t="shared" si="23"/>
        <v>0</v>
      </c>
    </row>
    <row r="115" spans="1:17">
      <c r="A115" s="603"/>
      <c r="B115" s="603"/>
      <c r="C115" s="603"/>
      <c r="D115" s="611"/>
      <c r="E115" s="611"/>
      <c r="F115" s="611"/>
      <c r="G115" s="611"/>
      <c r="H115" s="611"/>
      <c r="I115" s="611"/>
      <c r="J115" s="611"/>
      <c r="K115" s="611"/>
      <c r="L115" s="617"/>
      <c r="M115" s="617"/>
      <c r="N115" s="617"/>
      <c r="O115" s="617"/>
      <c r="P115" s="617"/>
      <c r="Q115" s="12">
        <f t="shared" si="23"/>
        <v>0</v>
      </c>
    </row>
    <row r="116" spans="1:17">
      <c r="A116" s="603" t="s">
        <v>26</v>
      </c>
      <c r="B116" s="603"/>
      <c r="C116" s="603"/>
      <c r="D116" s="628">
        <f>SUM(F116:P116)</f>
        <v>98381949</v>
      </c>
      <c r="E116" s="611"/>
      <c r="F116" s="629">
        <f>ROUND((+F23+[2]ROR!F$23)/2,0)</f>
        <v>65438593</v>
      </c>
      <c r="G116" s="629">
        <f>ROUND((+G23+[2]ROR!G$23)/2,0)</f>
        <v>0</v>
      </c>
      <c r="H116" s="629">
        <f>ROUND((+H23+[2]ROR!H$23)/2,0)</f>
        <v>15038019</v>
      </c>
      <c r="I116" s="629">
        <f>ROUND((+I23+[2]ROR!I$23)/2,0)</f>
        <v>0</v>
      </c>
      <c r="J116" s="629">
        <f>ROUND((+J23+[2]ROR!J$23)/2,0)</f>
        <v>5299531</v>
      </c>
      <c r="K116" s="629">
        <f>ROUND((+K23+[2]ROR!K$23)/2,0)</f>
        <v>0</v>
      </c>
      <c r="L116" s="629">
        <f>ROUND((+L23+[2]ROR!L$23)/2,0)</f>
        <v>4021207</v>
      </c>
      <c r="M116" s="629">
        <f>ROUND((+M23+[2]ROR!M$23)/2,0)</f>
        <v>0</v>
      </c>
      <c r="N116" s="629">
        <f>ROUND((+N23+[2]ROR!N$23)/2,0)</f>
        <v>8039067</v>
      </c>
      <c r="O116" s="629">
        <f>ROUND((+O23+[2]ROR!O$23)/2,0)</f>
        <v>0</v>
      </c>
      <c r="P116" s="629">
        <f>ROUND((+P23+[2]ROR!P$23)/2,0)</f>
        <v>545532</v>
      </c>
      <c r="Q116" s="12">
        <f t="shared" si="23"/>
        <v>0</v>
      </c>
    </row>
    <row r="117" spans="1:17">
      <c r="A117" s="603"/>
      <c r="B117" s="603"/>
      <c r="C117" s="603"/>
      <c r="D117" s="611"/>
      <c r="E117" s="611"/>
      <c r="F117" s="611"/>
      <c r="G117" s="611"/>
      <c r="H117" s="611"/>
      <c r="I117" s="611"/>
      <c r="J117" s="611"/>
      <c r="K117" s="611"/>
      <c r="L117" s="617"/>
      <c r="M117" s="617"/>
      <c r="N117" s="617"/>
      <c r="O117" s="617"/>
      <c r="P117" s="617"/>
      <c r="Q117" s="12">
        <f t="shared" si="23"/>
        <v>0</v>
      </c>
    </row>
    <row r="118" spans="1:17">
      <c r="A118" s="603" t="s">
        <v>27</v>
      </c>
      <c r="B118" s="603"/>
      <c r="C118" s="603"/>
      <c r="D118" s="608">
        <f>D114-D116</f>
        <v>68284474.454166472</v>
      </c>
      <c r="E118" s="608"/>
      <c r="F118" s="608">
        <f>F114-F116</f>
        <v>39803641.672706693</v>
      </c>
      <c r="G118" s="608"/>
      <c r="H118" s="608">
        <f>H114-H116</f>
        <v>11681901</v>
      </c>
      <c r="I118" s="608"/>
      <c r="J118" s="608">
        <f>J114-J116</f>
        <v>4316193.0010000002</v>
      </c>
      <c r="K118" s="608"/>
      <c r="L118" s="608">
        <f>L114-L116</f>
        <v>3554407.7804598045</v>
      </c>
      <c r="M118" s="608"/>
      <c r="N118" s="608">
        <f>N114-N116</f>
        <v>8553408</v>
      </c>
      <c r="O118" s="608"/>
      <c r="P118" s="608">
        <f t="shared" ref="P118" si="26">P114-P116</f>
        <v>374923</v>
      </c>
      <c r="Q118" s="12">
        <f t="shared" si="23"/>
        <v>0</v>
      </c>
    </row>
    <row r="119" spans="1:17">
      <c r="A119" s="603"/>
      <c r="B119" s="603"/>
      <c r="C119" s="603"/>
      <c r="D119" s="611"/>
      <c r="E119" s="611"/>
      <c r="F119" s="611"/>
      <c r="G119" s="611"/>
      <c r="H119" s="611"/>
      <c r="I119" s="611"/>
      <c r="J119" s="611"/>
      <c r="K119" s="611"/>
      <c r="L119" s="617"/>
      <c r="M119" s="617"/>
      <c r="N119" s="617"/>
      <c r="O119" s="617"/>
      <c r="P119" s="617"/>
      <c r="Q119" s="12">
        <f t="shared" si="23"/>
        <v>0</v>
      </c>
    </row>
    <row r="120" spans="1:17">
      <c r="A120" s="603" t="s">
        <v>28</v>
      </c>
      <c r="B120" s="603"/>
      <c r="C120" s="603"/>
      <c r="D120" s="629">
        <f>+D27</f>
        <v>11953000</v>
      </c>
      <c r="E120" s="611"/>
      <c r="F120" s="630">
        <f>ROUND(F136*$D120,0)</f>
        <v>7239932</v>
      </c>
      <c r="G120" s="622"/>
      <c r="H120" s="630">
        <f>ROUND(H136*$D120,0)</f>
        <v>2170665</v>
      </c>
      <c r="I120" s="622"/>
      <c r="J120" s="630">
        <f>ROUND(J136*$D120,0)</f>
        <v>786507</v>
      </c>
      <c r="K120" s="622"/>
      <c r="L120" s="630">
        <f>ROUND(L136*$D120,0)</f>
        <v>621556</v>
      </c>
      <c r="M120" s="622"/>
      <c r="N120" s="630">
        <f>ROUND(N136*$D120,0)</f>
        <v>1069794</v>
      </c>
      <c r="O120" s="622"/>
      <c r="P120" s="630">
        <f t="shared" ref="P120" si="27">ROUND(P136*$D120,0)</f>
        <v>64546</v>
      </c>
      <c r="Q120" s="12">
        <f t="shared" si="23"/>
        <v>0</v>
      </c>
    </row>
    <row r="121" spans="1:17">
      <c r="A121" s="603"/>
      <c r="B121" s="603"/>
      <c r="C121" s="603"/>
      <c r="D121" s="611"/>
      <c r="E121" s="611"/>
      <c r="F121" s="611"/>
      <c r="G121" s="611"/>
      <c r="H121" s="611"/>
      <c r="I121" s="611"/>
      <c r="J121" s="611"/>
      <c r="K121" s="611"/>
      <c r="L121" s="617"/>
      <c r="M121" s="617"/>
      <c r="N121" s="617"/>
      <c r="O121" s="617"/>
      <c r="P121" s="617"/>
      <c r="Q121" s="12">
        <f t="shared" si="23"/>
        <v>0</v>
      </c>
    </row>
    <row r="122" spans="1:17">
      <c r="A122" s="603" t="s">
        <v>29</v>
      </c>
      <c r="B122" s="603"/>
      <c r="C122" s="603"/>
      <c r="D122" s="620">
        <f>+D118-D120</f>
        <v>56331474.454166472</v>
      </c>
      <c r="E122" s="611"/>
      <c r="F122" s="620">
        <f>+F118-F120</f>
        <v>32563709.672706693</v>
      </c>
      <c r="G122" s="620">
        <f t="shared" ref="G122:P122" si="28">+G118-G120</f>
        <v>0</v>
      </c>
      <c r="H122" s="620">
        <f t="shared" si="28"/>
        <v>9511236</v>
      </c>
      <c r="I122" s="620">
        <f t="shared" si="28"/>
        <v>0</v>
      </c>
      <c r="J122" s="620">
        <f t="shared" si="28"/>
        <v>3529686.0010000002</v>
      </c>
      <c r="K122" s="620">
        <f t="shared" si="28"/>
        <v>0</v>
      </c>
      <c r="L122" s="620">
        <f t="shared" si="28"/>
        <v>2932851.7804598045</v>
      </c>
      <c r="M122" s="620">
        <f t="shared" si="28"/>
        <v>0</v>
      </c>
      <c r="N122" s="620">
        <f t="shared" si="28"/>
        <v>7483614</v>
      </c>
      <c r="O122" s="620">
        <f t="shared" si="28"/>
        <v>0</v>
      </c>
      <c r="P122" s="620">
        <f t="shared" si="28"/>
        <v>310377</v>
      </c>
      <c r="Q122" s="12">
        <f t="shared" si="23"/>
        <v>0</v>
      </c>
    </row>
    <row r="123" spans="1:17">
      <c r="A123" s="603"/>
      <c r="B123" s="603"/>
      <c r="C123" s="603"/>
      <c r="D123" s="611"/>
      <c r="E123" s="611"/>
      <c r="F123" s="611"/>
      <c r="G123" s="611"/>
      <c r="H123" s="611"/>
      <c r="I123" s="611"/>
      <c r="J123" s="611"/>
      <c r="K123" s="611"/>
      <c r="L123" s="617"/>
      <c r="M123" s="617"/>
      <c r="N123" s="617"/>
      <c r="O123" s="617"/>
      <c r="P123" s="617"/>
      <c r="Q123" s="12">
        <f t="shared" si="23"/>
        <v>0</v>
      </c>
    </row>
    <row r="124" spans="1:17">
      <c r="A124" s="603" t="s">
        <v>30</v>
      </c>
      <c r="B124" s="603"/>
      <c r="C124" s="603"/>
      <c r="D124" s="621">
        <f>+D31</f>
        <v>21584000</v>
      </c>
      <c r="E124" s="611"/>
      <c r="F124" s="622">
        <f>ROUND(+F137*$D124,0)</f>
        <v>12477710</v>
      </c>
      <c r="G124" s="622"/>
      <c r="H124" s="623">
        <f>ROUND(+H137*$D124,0)</f>
        <v>3643379</v>
      </c>
      <c r="I124" s="622"/>
      <c r="J124" s="622">
        <f>ROUND(+J137*$D124,0)</f>
        <v>1353317</v>
      </c>
      <c r="K124" s="622"/>
      <c r="L124" s="622">
        <f>ROUND(+L137*$D124,0)</f>
        <v>1124526</v>
      </c>
      <c r="M124" s="622"/>
      <c r="N124" s="622">
        <f>ROUND(+N137*$D124,0)</f>
        <v>2866355</v>
      </c>
      <c r="O124" s="622"/>
      <c r="P124" s="622">
        <f t="shared" ref="P124" si="29">ROUND(+P137*$D124,0)</f>
        <v>118712</v>
      </c>
      <c r="Q124" s="12">
        <f t="shared" si="23"/>
        <v>-1</v>
      </c>
    </row>
    <row r="125" spans="1:17">
      <c r="A125" s="603"/>
      <c r="B125" s="603"/>
      <c r="C125" s="603"/>
      <c r="D125" s="611"/>
      <c r="E125" s="611"/>
      <c r="F125" s="611"/>
      <c r="G125" s="611"/>
      <c r="H125" s="611"/>
      <c r="I125" s="611"/>
      <c r="J125" s="611"/>
      <c r="K125" s="611"/>
      <c r="L125" s="617"/>
      <c r="M125" s="617"/>
      <c r="N125" s="617"/>
      <c r="O125" s="617"/>
      <c r="P125" s="617"/>
      <c r="Q125" s="12">
        <f t="shared" si="23"/>
        <v>0</v>
      </c>
    </row>
    <row r="126" spans="1:17">
      <c r="A126" s="603" t="s">
        <v>31</v>
      </c>
      <c r="B126" s="603"/>
      <c r="C126" s="603"/>
      <c r="D126" s="620">
        <f>+D118-D124</f>
        <v>46700474.454166472</v>
      </c>
      <c r="E126" s="624">
        <f t="shared" ref="E126:P126" si="30">+E118-E124</f>
        <v>0</v>
      </c>
      <c r="F126" s="625">
        <f t="shared" si="30"/>
        <v>27325931.672706693</v>
      </c>
      <c r="G126" s="625">
        <f t="shared" si="30"/>
        <v>0</v>
      </c>
      <c r="H126" s="625">
        <f t="shared" si="30"/>
        <v>8038522</v>
      </c>
      <c r="I126" s="625">
        <f t="shared" si="30"/>
        <v>0</v>
      </c>
      <c r="J126" s="625">
        <f t="shared" si="30"/>
        <v>2962876.0010000002</v>
      </c>
      <c r="K126" s="625">
        <f t="shared" si="30"/>
        <v>0</v>
      </c>
      <c r="L126" s="625">
        <f t="shared" si="30"/>
        <v>2429881.7804598045</v>
      </c>
      <c r="M126" s="625">
        <f t="shared" si="30"/>
        <v>0</v>
      </c>
      <c r="N126" s="625">
        <f t="shared" si="30"/>
        <v>5687053</v>
      </c>
      <c r="O126" s="625">
        <f t="shared" si="30"/>
        <v>0</v>
      </c>
      <c r="P126" s="625">
        <f t="shared" si="30"/>
        <v>256211</v>
      </c>
      <c r="Q126" s="12">
        <f t="shared" si="23"/>
        <v>1.0000000298023224</v>
      </c>
    </row>
    <row r="127" spans="1:17">
      <c r="A127" s="603"/>
      <c r="B127" s="603"/>
      <c r="C127" s="603"/>
      <c r="D127" s="611"/>
      <c r="E127" s="611"/>
      <c r="F127" s="611"/>
      <c r="G127" s="611"/>
      <c r="H127" s="611"/>
      <c r="I127" s="611"/>
      <c r="J127" s="611"/>
      <c r="K127" s="611"/>
      <c r="L127" s="617"/>
      <c r="M127" s="617"/>
      <c r="N127" s="617"/>
      <c r="O127" s="617"/>
      <c r="P127" s="617"/>
      <c r="Q127" s="12">
        <f t="shared" si="23"/>
        <v>0</v>
      </c>
    </row>
    <row r="128" spans="1:17">
      <c r="A128" s="603" t="s">
        <v>32</v>
      </c>
      <c r="B128" s="603"/>
      <c r="C128" s="603"/>
      <c r="D128" s="611"/>
      <c r="E128" s="611"/>
      <c r="F128" s="611"/>
      <c r="G128" s="611"/>
      <c r="H128" s="611"/>
      <c r="I128" s="611"/>
      <c r="J128" s="611"/>
      <c r="K128" s="611"/>
      <c r="L128" s="617"/>
      <c r="M128" s="617"/>
      <c r="N128" s="617"/>
      <c r="O128" s="617"/>
      <c r="P128" s="617"/>
      <c r="Q128" s="12">
        <f t="shared" si="23"/>
        <v>0</v>
      </c>
    </row>
    <row r="129" spans="1:17">
      <c r="A129" s="603" t="s">
        <v>33</v>
      </c>
      <c r="B129" s="603"/>
      <c r="C129" s="603"/>
      <c r="D129" s="608">
        <f>SUM(F129:P129)</f>
        <v>555974811</v>
      </c>
      <c r="E129" s="611"/>
      <c r="F129" s="620">
        <f>ROUND((+F36+[2]ROR!F$36)/2,0)</f>
        <v>336703560</v>
      </c>
      <c r="G129" s="620">
        <f>ROUND((+G36+[2]ROR!G$36)/2,0)</f>
        <v>0</v>
      </c>
      <c r="H129" s="620">
        <f>ROUND((+H36+[2]ROR!H$36)/2,0)</f>
        <v>100977139</v>
      </c>
      <c r="I129" s="620">
        <f>ROUND((+I36+[2]ROR!I$36)/2,0)</f>
        <v>0</v>
      </c>
      <c r="J129" s="620">
        <f>ROUND((+J36+[2]ROR!J$36)/2,0)</f>
        <v>36605002</v>
      </c>
      <c r="K129" s="620">
        <f>ROUND((+K36+[2]ROR!K$36)/2,0)</f>
        <v>0</v>
      </c>
      <c r="L129" s="620">
        <f>ROUND((+L36+[2]ROR!L$36)/2,0)</f>
        <v>28922752</v>
      </c>
      <c r="M129" s="620">
        <f>ROUND((+M36+[2]ROR!M$36)/2,0)</f>
        <v>0</v>
      </c>
      <c r="N129" s="620">
        <f>ROUND((+N36+[2]ROR!N$36)/2,0)</f>
        <v>49737198</v>
      </c>
      <c r="O129" s="620">
        <f>ROUND((+O36+[2]ROR!O$36)/2,0)</f>
        <v>0</v>
      </c>
      <c r="P129" s="620">
        <f>ROUND((+P36+[2]ROR!P$36)/2,0)</f>
        <v>3029160</v>
      </c>
      <c r="Q129" s="12">
        <f t="shared" si="23"/>
        <v>0</v>
      </c>
    </row>
    <row r="130" spans="1:17">
      <c r="A130" s="603"/>
      <c r="B130" s="603"/>
      <c r="C130" s="603"/>
      <c r="D130" s="611"/>
      <c r="E130" s="611"/>
      <c r="F130" s="611"/>
      <c r="G130" s="611"/>
      <c r="H130" s="611"/>
      <c r="I130" s="611"/>
      <c r="J130" s="611"/>
      <c r="K130" s="611"/>
      <c r="L130" s="617"/>
      <c r="M130" s="617"/>
      <c r="N130" s="617"/>
      <c r="O130" s="617"/>
      <c r="P130" s="617"/>
    </row>
    <row r="131" spans="1:17">
      <c r="A131" s="603" t="s">
        <v>34</v>
      </c>
      <c r="B131" s="603"/>
      <c r="C131" s="603"/>
      <c r="D131" s="626">
        <f>D126/D129</f>
        <v>8.3997464507733738E-2</v>
      </c>
      <c r="E131" s="603"/>
      <c r="F131" s="626">
        <f>F126/F129</f>
        <v>8.1157240133447633E-2</v>
      </c>
      <c r="G131" s="603"/>
      <c r="H131" s="626">
        <f>H126/H129</f>
        <v>7.9607345579478142E-2</v>
      </c>
      <c r="I131" s="603"/>
      <c r="J131" s="626">
        <f>J126/J129</f>
        <v>8.0941834151518427E-2</v>
      </c>
      <c r="K131" s="603"/>
      <c r="L131" s="626">
        <f>L126/L129</f>
        <v>8.4012813872615041E-2</v>
      </c>
      <c r="M131" s="603"/>
      <c r="N131" s="626">
        <f>N126/N129</f>
        <v>0.11434204636939942</v>
      </c>
      <c r="O131" s="626"/>
      <c r="P131" s="626">
        <f t="shared" ref="P131" si="31">P126/P129</f>
        <v>8.4581534154683141E-2</v>
      </c>
    </row>
    <row r="132" spans="1:17">
      <c r="A132" s="603"/>
      <c r="B132" s="603"/>
      <c r="C132" s="603"/>
      <c r="D132" s="603"/>
      <c r="E132" s="603"/>
      <c r="F132" s="603"/>
      <c r="G132" s="603"/>
      <c r="H132" s="603"/>
      <c r="I132" s="603"/>
      <c r="J132" s="603"/>
      <c r="K132" s="603"/>
      <c r="L132" s="603"/>
      <c r="M132" s="603"/>
      <c r="N132" s="603"/>
      <c r="O132" s="603"/>
      <c r="P132" s="603"/>
    </row>
    <row r="133" spans="1:17">
      <c r="A133" s="603" t="s">
        <v>35</v>
      </c>
      <c r="B133" s="603"/>
      <c r="C133" s="603"/>
      <c r="D133" s="627">
        <f>D131/$D$131</f>
        <v>1</v>
      </c>
      <c r="E133" s="603"/>
      <c r="F133" s="627">
        <f>F131/$D$131</f>
        <v>0.96618678443532535</v>
      </c>
      <c r="G133" s="603"/>
      <c r="H133" s="627">
        <f>H131/$D$131</f>
        <v>0.94773510183927767</v>
      </c>
      <c r="I133" s="603"/>
      <c r="J133" s="627">
        <f>J131/$D$131</f>
        <v>0.96362235010160369</v>
      </c>
      <c r="K133" s="603"/>
      <c r="L133" s="627">
        <f>L131/$D$131</f>
        <v>1.000182736050085</v>
      </c>
      <c r="M133" s="603"/>
      <c r="N133" s="627">
        <f>N131/$D$131</f>
        <v>1.3612559264675401</v>
      </c>
      <c r="O133" s="627"/>
      <c r="P133" s="627">
        <f>P131/$D$131</f>
        <v>1.0069534199677614</v>
      </c>
    </row>
    <row r="134" spans="1:17">
      <c r="A134" s="603"/>
      <c r="B134" s="603"/>
      <c r="C134" s="603"/>
      <c r="D134" s="611"/>
      <c r="E134" s="611"/>
      <c r="F134" s="611"/>
      <c r="G134" s="611"/>
      <c r="H134" s="611"/>
      <c r="I134" s="611"/>
      <c r="J134" s="611"/>
      <c r="K134" s="611"/>
      <c r="L134" s="617"/>
      <c r="M134" s="617"/>
      <c r="N134" s="617"/>
      <c r="O134" s="617"/>
      <c r="P134" s="617"/>
    </row>
    <row r="135" spans="1:17">
      <c r="A135" s="277"/>
      <c r="B135" s="277"/>
      <c r="C135" s="277"/>
      <c r="D135" s="112"/>
      <c r="E135" s="112"/>
      <c r="F135" s="112"/>
      <c r="G135" s="112"/>
      <c r="H135" s="112"/>
      <c r="I135" s="112"/>
      <c r="J135" s="112"/>
      <c r="K135" s="112"/>
      <c r="L135" s="342"/>
      <c r="M135" s="342"/>
      <c r="N135" s="342"/>
      <c r="O135" s="342"/>
      <c r="P135" s="342"/>
    </row>
    <row r="136" spans="1:17">
      <c r="A136" s="690" t="s">
        <v>36</v>
      </c>
      <c r="B136" s="277"/>
      <c r="C136" s="277"/>
      <c r="D136" s="112"/>
      <c r="E136" s="112"/>
      <c r="F136" s="691">
        <f>ROUND(+F129/$D129,4)+0.0001</f>
        <v>0.60570000000000002</v>
      </c>
      <c r="G136" s="282"/>
      <c r="H136" s="691">
        <f>ROUND(+H129/$D129,4)</f>
        <v>0.18160000000000001</v>
      </c>
      <c r="I136" s="282"/>
      <c r="J136" s="691">
        <f>ROUND(+J129/$D129,4)</f>
        <v>6.5799999999999997E-2</v>
      </c>
      <c r="K136" s="282"/>
      <c r="L136" s="691">
        <f>ROUND(+L129/$D129,4)</f>
        <v>5.1999999999999998E-2</v>
      </c>
      <c r="M136" s="282"/>
      <c r="N136" s="691">
        <f>ROUND(+N129/$D129,4)</f>
        <v>8.9499999999999996E-2</v>
      </c>
      <c r="O136" s="691"/>
      <c r="P136" s="691">
        <f t="shared" ref="P136" si="32">ROUND(+P129/$D129,4)</f>
        <v>5.4000000000000003E-3</v>
      </c>
      <c r="Q136" s="81">
        <f>SUM(F136:P136)</f>
        <v>1</v>
      </c>
    </row>
    <row r="137" spans="1:17">
      <c r="A137" s="690" t="s">
        <v>37</v>
      </c>
      <c r="B137" s="277"/>
      <c r="C137" s="277"/>
      <c r="D137" s="112"/>
      <c r="E137" s="112"/>
      <c r="F137" s="691">
        <f>ROUND(+F122/$D122,4)</f>
        <v>0.57809999999999995</v>
      </c>
      <c r="G137" s="282"/>
      <c r="H137" s="691">
        <f>ROUND(+H122/$D122,4)</f>
        <v>0.16880000000000001</v>
      </c>
      <c r="I137" s="282"/>
      <c r="J137" s="691">
        <f>ROUND(+J122/$D122,4)</f>
        <v>6.2700000000000006E-2</v>
      </c>
      <c r="K137" s="282"/>
      <c r="L137" s="691">
        <f>ROUND(+L122/$D122,4)</f>
        <v>5.21E-2</v>
      </c>
      <c r="M137" s="282"/>
      <c r="N137" s="691">
        <f>ROUND(+N122/$D122,4)</f>
        <v>0.1328</v>
      </c>
      <c r="O137" s="691"/>
      <c r="P137" s="691">
        <f t="shared" ref="P137" si="33">ROUND(+P122/$D122,4)</f>
        <v>5.4999999999999997E-3</v>
      </c>
      <c r="Q137" s="81">
        <f>SUM(F137:P137)</f>
        <v>0.99999999999999989</v>
      </c>
    </row>
    <row r="138" spans="1:17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342"/>
      <c r="M138" s="342"/>
      <c r="N138" s="342"/>
      <c r="O138" s="342"/>
      <c r="P138" s="342"/>
    </row>
    <row r="139" spans="1:17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342"/>
      <c r="M139" s="342"/>
      <c r="N139" s="342"/>
      <c r="O139" s="342"/>
      <c r="P139" s="342"/>
    </row>
    <row r="140" spans="1:17" ht="15.75">
      <c r="A140" s="692" t="str">
        <f>IF($C$2=2,"make sure cell C2 = 1 for Present ROR", "OK")</f>
        <v>make sure cell C2 = 1 for Present ROR</v>
      </c>
      <c r="B140" s="112"/>
      <c r="C140" s="112"/>
      <c r="D140" s="112"/>
      <c r="E140" s="112"/>
      <c r="F140" s="691"/>
      <c r="G140" s="282"/>
      <c r="H140" s="691"/>
      <c r="I140" s="282"/>
      <c r="J140" s="691"/>
      <c r="K140" s="282"/>
      <c r="L140" s="691"/>
      <c r="M140" s="282"/>
      <c r="N140" s="691"/>
      <c r="O140" s="691"/>
      <c r="P140" s="691"/>
      <c r="Q140" s="81"/>
    </row>
    <row r="141" spans="1:17">
      <c r="A141" s="671" t="s">
        <v>635</v>
      </c>
      <c r="B141" s="672"/>
      <c r="C141" s="672"/>
      <c r="D141" s="672"/>
      <c r="E141" s="672"/>
      <c r="F141" s="672"/>
      <c r="G141" s="672"/>
      <c r="H141" s="672"/>
      <c r="I141" s="672"/>
      <c r="J141" s="672"/>
      <c r="K141" s="672"/>
      <c r="L141" s="672"/>
      <c r="M141" s="673"/>
      <c r="N141" s="672"/>
      <c r="O141" s="672"/>
      <c r="P141" s="672"/>
      <c r="Q141" s="12"/>
    </row>
    <row r="142" spans="1:17" ht="15.75">
      <c r="A142" s="674"/>
      <c r="B142" s="672"/>
      <c r="C142" s="672"/>
      <c r="D142" s="672"/>
      <c r="E142" s="672"/>
      <c r="F142" s="672"/>
      <c r="G142" s="672"/>
      <c r="H142" s="672"/>
      <c r="I142" s="672"/>
      <c r="J142" s="672"/>
      <c r="K142" s="675"/>
      <c r="L142" s="672"/>
      <c r="M142" s="673"/>
      <c r="N142" s="672"/>
      <c r="O142" s="672"/>
      <c r="P142" s="672"/>
      <c r="Q142" s="12"/>
    </row>
    <row r="143" spans="1:17">
      <c r="A143" s="671" t="s">
        <v>20</v>
      </c>
      <c r="B143" s="671"/>
      <c r="C143" s="671"/>
      <c r="D143" s="671"/>
      <c r="E143" s="671"/>
      <c r="F143" s="671"/>
      <c r="G143" s="671"/>
      <c r="H143" s="671"/>
      <c r="I143" s="671"/>
      <c r="J143" s="671"/>
      <c r="K143" s="671"/>
      <c r="L143" s="671"/>
      <c r="M143" s="676"/>
      <c r="N143" s="671"/>
      <c r="O143" s="671"/>
      <c r="P143" s="671"/>
      <c r="Q143" s="12"/>
    </row>
    <row r="144" spans="1:17">
      <c r="A144" s="671" t="s">
        <v>18</v>
      </c>
      <c r="B144" s="671"/>
      <c r="C144" s="671"/>
      <c r="D144" s="671"/>
      <c r="E144" s="671"/>
      <c r="F144" s="671"/>
      <c r="G144" s="671"/>
      <c r="H144" s="671"/>
      <c r="I144" s="671"/>
      <c r="J144" s="671"/>
      <c r="K144" s="671"/>
      <c r="L144" s="671"/>
      <c r="M144" s="676"/>
      <c r="N144" s="671"/>
      <c r="O144" s="671"/>
      <c r="P144" s="671"/>
      <c r="Q144" s="12"/>
    </row>
    <row r="145" spans="1:17">
      <c r="A145" s="677"/>
      <c r="B145" s="671"/>
      <c r="C145" s="671"/>
      <c r="D145" s="671"/>
      <c r="E145" s="671"/>
      <c r="F145" s="671"/>
      <c r="G145" s="671"/>
      <c r="H145" s="671"/>
      <c r="I145" s="671"/>
      <c r="J145" s="671"/>
      <c r="K145" s="671"/>
      <c r="L145" s="671"/>
      <c r="M145" s="676"/>
      <c r="N145" s="671"/>
      <c r="O145" s="671"/>
      <c r="P145" s="671"/>
      <c r="Q145" s="12"/>
    </row>
    <row r="146" spans="1:17">
      <c r="A146" s="277"/>
      <c r="B146" s="277"/>
      <c r="C146" s="277"/>
      <c r="D146" s="678" t="s">
        <v>594</v>
      </c>
      <c r="E146" s="277"/>
      <c r="F146" s="277"/>
      <c r="G146" s="277"/>
      <c r="H146" s="678"/>
      <c r="I146" s="277"/>
      <c r="J146" s="678"/>
      <c r="K146" s="277"/>
      <c r="L146" s="678"/>
      <c r="M146" s="679"/>
      <c r="N146" s="678"/>
      <c r="O146" s="678"/>
      <c r="P146" s="678"/>
      <c r="Q146" s="12"/>
    </row>
    <row r="147" spans="1:17">
      <c r="A147" s="277"/>
      <c r="B147" s="277"/>
      <c r="C147" s="277"/>
      <c r="D147" s="678" t="s">
        <v>216</v>
      </c>
      <c r="E147" s="277"/>
      <c r="F147" s="678"/>
      <c r="G147" s="277"/>
      <c r="H147" s="678"/>
      <c r="I147" s="277"/>
      <c r="J147" s="678"/>
      <c r="K147" s="277"/>
      <c r="L147" s="678"/>
      <c r="M147" s="679"/>
      <c r="N147" s="678"/>
      <c r="O147" s="678"/>
      <c r="P147" s="678"/>
      <c r="Q147" s="12"/>
    </row>
    <row r="148" spans="1:17">
      <c r="A148" s="671" t="s">
        <v>22</v>
      </c>
      <c r="B148" s="671"/>
      <c r="C148" s="277"/>
      <c r="D148" s="678" t="s">
        <v>595</v>
      </c>
      <c r="E148" s="277"/>
      <c r="F148" s="678" t="s">
        <v>322</v>
      </c>
      <c r="G148" s="277"/>
      <c r="H148" s="678" t="s">
        <v>318</v>
      </c>
      <c r="I148" s="277"/>
      <c r="J148" s="678" t="s">
        <v>319</v>
      </c>
      <c r="K148" s="277"/>
      <c r="L148" s="678" t="s">
        <v>320</v>
      </c>
      <c r="M148" s="679"/>
      <c r="N148" s="678" t="s">
        <v>321</v>
      </c>
      <c r="O148" s="678"/>
      <c r="P148" s="678" t="s">
        <v>427</v>
      </c>
    </row>
    <row r="149" spans="1:17">
      <c r="A149" s="680" t="s">
        <v>173</v>
      </c>
      <c r="B149" s="680"/>
      <c r="C149" s="277"/>
      <c r="D149" s="681" t="s">
        <v>181</v>
      </c>
      <c r="E149" s="277"/>
      <c r="F149" s="681" t="s">
        <v>195</v>
      </c>
      <c r="G149" s="277"/>
      <c r="H149" s="681" t="s">
        <v>191</v>
      </c>
      <c r="I149" s="277"/>
      <c r="J149" s="681" t="s">
        <v>202</v>
      </c>
      <c r="K149" s="277"/>
      <c r="L149" s="681" t="s">
        <v>198</v>
      </c>
      <c r="M149" s="679"/>
      <c r="N149" s="682">
        <f>+L149-1</f>
        <v>-7</v>
      </c>
      <c r="O149" s="682"/>
      <c r="P149" s="682">
        <v>-8</v>
      </c>
    </row>
    <row r="150" spans="1:17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342"/>
      <c r="M150" s="342"/>
      <c r="N150" s="342"/>
      <c r="O150" s="342"/>
      <c r="P150" s="342"/>
    </row>
    <row r="151" spans="1:17">
      <c r="A151" s="277" t="s">
        <v>151</v>
      </c>
      <c r="B151" s="277"/>
      <c r="C151" s="277"/>
      <c r="D151" s="112"/>
      <c r="E151" s="112"/>
      <c r="F151" s="112"/>
      <c r="G151" s="112"/>
      <c r="H151" s="112"/>
      <c r="I151" s="112"/>
      <c r="J151" s="112"/>
      <c r="K151" s="112"/>
      <c r="L151" s="342"/>
      <c r="M151" s="342"/>
      <c r="N151" s="342"/>
      <c r="O151" s="342"/>
      <c r="P151" s="342"/>
    </row>
    <row r="152" spans="1:17">
      <c r="A152" s="277" t="s">
        <v>23</v>
      </c>
      <c r="B152" s="277"/>
      <c r="C152" s="277"/>
      <c r="D152" s="683">
        <f t="shared" ref="D152:E153" si="34">+D63</f>
        <v>142727562.13031626</v>
      </c>
      <c r="E152" s="683">
        <f t="shared" si="34"/>
        <v>0</v>
      </c>
      <c r="F152" s="683">
        <f>+F63</f>
        <v>88666470.080156267</v>
      </c>
      <c r="G152" s="683">
        <f t="shared" ref="G152:P153" si="35">+G63</f>
        <v>0</v>
      </c>
      <c r="H152" s="683">
        <f t="shared" si="35"/>
        <v>21457704.436823994</v>
      </c>
      <c r="I152" s="683">
        <f t="shared" si="35"/>
        <v>0</v>
      </c>
      <c r="J152" s="683">
        <f t="shared" si="35"/>
        <v>7840831.6703520007</v>
      </c>
      <c r="K152" s="683">
        <f t="shared" si="35"/>
        <v>0</v>
      </c>
      <c r="L152" s="683">
        <f t="shared" si="35"/>
        <v>7132565.6727839997</v>
      </c>
      <c r="M152" s="683">
        <f t="shared" si="35"/>
        <v>0</v>
      </c>
      <c r="N152" s="683">
        <f t="shared" si="35"/>
        <v>16684990.3584</v>
      </c>
      <c r="O152" s="683">
        <f t="shared" si="35"/>
        <v>0</v>
      </c>
      <c r="P152" s="683">
        <f t="shared" si="35"/>
        <v>944999.9118</v>
      </c>
      <c r="Q152" s="12">
        <f t="shared" ref="Q152:Q170" si="36">SUM(F152:P152)-D152</f>
        <v>0</v>
      </c>
    </row>
    <row r="153" spans="1:17">
      <c r="A153" s="277" t="s">
        <v>24</v>
      </c>
      <c r="B153" s="277"/>
      <c r="C153" s="277"/>
      <c r="D153" s="693">
        <f t="shared" si="34"/>
        <v>2278000</v>
      </c>
      <c r="E153" s="683">
        <f t="shared" si="34"/>
        <v>0</v>
      </c>
      <c r="F153" s="693">
        <f>+F64</f>
        <v>1561548</v>
      </c>
      <c r="G153" s="683">
        <f t="shared" si="35"/>
        <v>0</v>
      </c>
      <c r="H153" s="693">
        <f t="shared" si="35"/>
        <v>496931</v>
      </c>
      <c r="I153" s="683">
        <f t="shared" si="35"/>
        <v>0</v>
      </c>
      <c r="J153" s="693">
        <f t="shared" si="35"/>
        <v>151405</v>
      </c>
      <c r="K153" s="683">
        <f t="shared" si="35"/>
        <v>0</v>
      </c>
      <c r="L153" s="693">
        <f t="shared" si="35"/>
        <v>22285</v>
      </c>
      <c r="M153" s="683">
        <f t="shared" si="35"/>
        <v>0</v>
      </c>
      <c r="N153" s="693">
        <f t="shared" si="35"/>
        <v>42114</v>
      </c>
      <c r="O153" s="683">
        <f t="shared" si="35"/>
        <v>0</v>
      </c>
      <c r="P153" s="693">
        <f t="shared" si="35"/>
        <v>3717</v>
      </c>
      <c r="Q153" s="12">
        <f t="shared" si="36"/>
        <v>0</v>
      </c>
    </row>
    <row r="154" spans="1:17">
      <c r="A154" s="277"/>
      <c r="B154" s="277"/>
      <c r="C154" s="277"/>
      <c r="D154" s="112"/>
      <c r="E154" s="112"/>
      <c r="F154" s="112"/>
      <c r="G154" s="112"/>
      <c r="H154" s="112"/>
      <c r="I154" s="112"/>
      <c r="J154" s="112"/>
      <c r="K154" s="112"/>
      <c r="L154" s="342"/>
      <c r="M154" s="342"/>
      <c r="N154" s="342"/>
      <c r="O154" s="342"/>
      <c r="P154" s="342"/>
      <c r="Q154" s="12">
        <f t="shared" si="36"/>
        <v>0</v>
      </c>
    </row>
    <row r="155" spans="1:17">
      <c r="A155" s="277" t="s">
        <v>25</v>
      </c>
      <c r="B155" s="277"/>
      <c r="C155" s="277"/>
      <c r="D155" s="175">
        <f>+D153+D152</f>
        <v>145005562.13031626</v>
      </c>
      <c r="E155" s="175">
        <f t="shared" ref="E155:P155" si="37">+E153+E152</f>
        <v>0</v>
      </c>
      <c r="F155" s="175">
        <f t="shared" si="37"/>
        <v>90228018.080156267</v>
      </c>
      <c r="G155" s="175">
        <f t="shared" si="37"/>
        <v>0</v>
      </c>
      <c r="H155" s="175">
        <f t="shared" si="37"/>
        <v>21954635.436823994</v>
      </c>
      <c r="I155" s="175">
        <f t="shared" si="37"/>
        <v>0</v>
      </c>
      <c r="J155" s="175">
        <f t="shared" si="37"/>
        <v>7992236.6703520007</v>
      </c>
      <c r="K155" s="175">
        <f t="shared" si="37"/>
        <v>0</v>
      </c>
      <c r="L155" s="175">
        <f t="shared" si="37"/>
        <v>7154850.6727839997</v>
      </c>
      <c r="M155" s="175">
        <f t="shared" si="37"/>
        <v>0</v>
      </c>
      <c r="N155" s="175">
        <f t="shared" si="37"/>
        <v>16727104.3584</v>
      </c>
      <c r="O155" s="175">
        <f t="shared" si="37"/>
        <v>0</v>
      </c>
      <c r="P155" s="175">
        <f t="shared" si="37"/>
        <v>948716.9118</v>
      </c>
      <c r="Q155" s="12">
        <f t="shared" si="36"/>
        <v>0</v>
      </c>
    </row>
    <row r="156" spans="1:17">
      <c r="A156" s="277"/>
      <c r="B156" s="277"/>
      <c r="C156" s="277"/>
      <c r="D156" s="112"/>
      <c r="E156" s="112"/>
      <c r="F156" s="112"/>
      <c r="G156" s="112"/>
      <c r="H156" s="112"/>
      <c r="I156" s="112"/>
      <c r="J156" s="112"/>
      <c r="K156" s="112"/>
      <c r="L156" s="342"/>
      <c r="M156" s="342"/>
      <c r="N156" s="342"/>
      <c r="O156" s="342"/>
      <c r="P156" s="342"/>
      <c r="Q156" s="12">
        <f t="shared" si="36"/>
        <v>0</v>
      </c>
    </row>
    <row r="157" spans="1:17">
      <c r="A157" s="277" t="s">
        <v>26</v>
      </c>
      <c r="B157" s="277"/>
      <c r="C157" s="277"/>
      <c r="D157" s="684">
        <f>SUM(F157:P157)</f>
        <v>98381949</v>
      </c>
      <c r="E157" s="112"/>
      <c r="F157" s="685">
        <f>ROUND((+F68+[2]ROR!F68)/2,0)</f>
        <v>65438593</v>
      </c>
      <c r="G157" s="173">
        <f>ROUND((+G68+[2]ROR!G68)/2,0)</f>
        <v>0</v>
      </c>
      <c r="H157" s="685">
        <f>ROUND((+H68+[2]ROR!H68)/2,0)</f>
        <v>15038019</v>
      </c>
      <c r="I157" s="173">
        <f>ROUND((+I68+[2]ROR!I68)/2,0)</f>
        <v>0</v>
      </c>
      <c r="J157" s="685">
        <f>ROUND((+J68+[2]ROR!J68)/2,0)</f>
        <v>5299531</v>
      </c>
      <c r="K157" s="173">
        <f>ROUND((+K68+[2]ROR!K68)/2,0)</f>
        <v>0</v>
      </c>
      <c r="L157" s="685">
        <f>ROUND((+L68+[2]ROR!L68)/2,0)</f>
        <v>4021207</v>
      </c>
      <c r="M157" s="173">
        <f>ROUND((+M68+[2]ROR!M68)/2,0)</f>
        <v>0</v>
      </c>
      <c r="N157" s="685">
        <f>ROUND((+N68+[2]ROR!N68)/2,0)</f>
        <v>8039067</v>
      </c>
      <c r="O157" s="173">
        <f>ROUND((+O68+[2]ROR!O68)/2,0)</f>
        <v>0</v>
      </c>
      <c r="P157" s="685">
        <f>ROUND((+P68+[2]ROR!P68)/2,0)</f>
        <v>545532</v>
      </c>
      <c r="Q157" s="12">
        <f t="shared" si="36"/>
        <v>0</v>
      </c>
    </row>
    <row r="158" spans="1:17">
      <c r="A158" s="277"/>
      <c r="B158" s="277"/>
      <c r="C158" s="277"/>
      <c r="D158" s="112"/>
      <c r="E158" s="112"/>
      <c r="F158" s="112"/>
      <c r="G158" s="112"/>
      <c r="H158" s="112"/>
      <c r="I158" s="112"/>
      <c r="J158" s="112"/>
      <c r="K158" s="112"/>
      <c r="L158" s="342"/>
      <c r="M158" s="342"/>
      <c r="N158" s="342"/>
      <c r="O158" s="342"/>
      <c r="P158" s="342"/>
      <c r="Q158" s="12">
        <f t="shared" si="36"/>
        <v>0</v>
      </c>
    </row>
    <row r="159" spans="1:17">
      <c r="A159" s="277" t="s">
        <v>27</v>
      </c>
      <c r="B159" s="277"/>
      <c r="C159" s="277"/>
      <c r="D159" s="574">
        <f>D155-D157</f>
        <v>46623613.130316257</v>
      </c>
      <c r="E159" s="574"/>
      <c r="F159" s="574">
        <f>F155-F157</f>
        <v>24789425.080156267</v>
      </c>
      <c r="G159" s="574"/>
      <c r="H159" s="574">
        <f>H155-H157</f>
        <v>6916616.4368239939</v>
      </c>
      <c r="I159" s="574"/>
      <c r="J159" s="574">
        <f>J155-J157</f>
        <v>2692705.6703520007</v>
      </c>
      <c r="K159" s="574"/>
      <c r="L159" s="574">
        <f>L155-L157</f>
        <v>3133643.6727839997</v>
      </c>
      <c r="M159" s="574"/>
      <c r="N159" s="574">
        <f>N155-N157</f>
        <v>8688037.3584000003</v>
      </c>
      <c r="O159" s="574"/>
      <c r="P159" s="574">
        <f t="shared" ref="P159" si="38">P155-P157</f>
        <v>403184.9118</v>
      </c>
      <c r="Q159" s="12">
        <f t="shared" si="36"/>
        <v>0</v>
      </c>
    </row>
    <row r="160" spans="1:17">
      <c r="A160" s="277"/>
      <c r="B160" s="277"/>
      <c r="C160" s="277"/>
      <c r="D160" s="112"/>
      <c r="E160" s="112"/>
      <c r="F160" s="112"/>
      <c r="G160" s="112"/>
      <c r="H160" s="112"/>
      <c r="I160" s="112"/>
      <c r="J160" s="112"/>
      <c r="K160" s="112"/>
      <c r="L160" s="342"/>
      <c r="M160" s="342"/>
      <c r="N160" s="342"/>
      <c r="O160" s="342"/>
      <c r="P160" s="342"/>
      <c r="Q160" s="12">
        <f t="shared" si="36"/>
        <v>0</v>
      </c>
    </row>
    <row r="161" spans="1:17">
      <c r="A161" s="277" t="s">
        <v>28</v>
      </c>
      <c r="B161" s="277"/>
      <c r="C161" s="277"/>
      <c r="D161" s="685">
        <f>+D72</f>
        <v>11953000</v>
      </c>
      <c r="E161" s="112"/>
      <c r="F161" s="280">
        <f>ROUND(F177*$D161,0)</f>
        <v>7238737</v>
      </c>
      <c r="G161" s="275"/>
      <c r="H161" s="280">
        <f>ROUND(H177*$D161,0)</f>
        <v>2170665</v>
      </c>
      <c r="I161" s="275"/>
      <c r="J161" s="280">
        <f>ROUND(J177*$D161,0)</f>
        <v>786507</v>
      </c>
      <c r="K161" s="275"/>
      <c r="L161" s="280">
        <f>ROUND(L177*$D161,0)</f>
        <v>621556</v>
      </c>
      <c r="M161" s="275"/>
      <c r="N161" s="280">
        <f>ROUND(N177*$D161,0)</f>
        <v>1069794</v>
      </c>
      <c r="O161" s="275"/>
      <c r="P161" s="280">
        <f t="shared" ref="P161" si="39">ROUND(P177*$D161,0)</f>
        <v>64546</v>
      </c>
      <c r="Q161" s="12">
        <f t="shared" si="36"/>
        <v>-1195</v>
      </c>
    </row>
    <row r="162" spans="1:17">
      <c r="A162" s="277"/>
      <c r="B162" s="277"/>
      <c r="C162" s="277"/>
      <c r="D162" s="112"/>
      <c r="E162" s="112"/>
      <c r="F162" s="112"/>
      <c r="G162" s="112"/>
      <c r="H162" s="112"/>
      <c r="I162" s="112"/>
      <c r="J162" s="112"/>
      <c r="K162" s="112"/>
      <c r="L162" s="342"/>
      <c r="M162" s="342"/>
      <c r="N162" s="342"/>
      <c r="O162" s="342"/>
      <c r="P162" s="342"/>
      <c r="Q162" s="12">
        <f t="shared" si="36"/>
        <v>0</v>
      </c>
    </row>
    <row r="163" spans="1:17">
      <c r="A163" s="277" t="s">
        <v>29</v>
      </c>
      <c r="B163" s="277"/>
      <c r="C163" s="277"/>
      <c r="D163" s="175">
        <f>+D159-D161</f>
        <v>34670613.130316257</v>
      </c>
      <c r="E163" s="112"/>
      <c r="F163" s="175">
        <f>+F159-F161</f>
        <v>17550688.080156267</v>
      </c>
      <c r="G163" s="175">
        <f t="shared" ref="G163:P163" si="40">+G159-G161</f>
        <v>0</v>
      </c>
      <c r="H163" s="175">
        <f t="shared" si="40"/>
        <v>4745951.4368239939</v>
      </c>
      <c r="I163" s="175">
        <f t="shared" si="40"/>
        <v>0</v>
      </c>
      <c r="J163" s="175">
        <f t="shared" si="40"/>
        <v>1906198.6703520007</v>
      </c>
      <c r="K163" s="175">
        <f t="shared" si="40"/>
        <v>0</v>
      </c>
      <c r="L163" s="175">
        <f t="shared" si="40"/>
        <v>2512087.6727839997</v>
      </c>
      <c r="M163" s="175">
        <f t="shared" si="40"/>
        <v>0</v>
      </c>
      <c r="N163" s="175">
        <f t="shared" si="40"/>
        <v>7618243.3584000003</v>
      </c>
      <c r="O163" s="175">
        <f t="shared" si="40"/>
        <v>0</v>
      </c>
      <c r="P163" s="175">
        <f t="shared" si="40"/>
        <v>338638.9118</v>
      </c>
      <c r="Q163" s="12">
        <f t="shared" si="36"/>
        <v>1195</v>
      </c>
    </row>
    <row r="164" spans="1:17">
      <c r="A164" s="277"/>
      <c r="B164" s="277"/>
      <c r="C164" s="277"/>
      <c r="D164" s="112"/>
      <c r="E164" s="112"/>
      <c r="F164" s="112"/>
      <c r="G164" s="112"/>
      <c r="H164" s="112"/>
      <c r="I164" s="112"/>
      <c r="J164" s="112"/>
      <c r="K164" s="112"/>
      <c r="L164" s="342"/>
      <c r="M164" s="342"/>
      <c r="N164" s="342"/>
      <c r="O164" s="342"/>
      <c r="P164" s="342"/>
      <c r="Q164" s="12">
        <f t="shared" si="36"/>
        <v>0</v>
      </c>
    </row>
    <row r="165" spans="1:17">
      <c r="A165" s="277" t="s">
        <v>30</v>
      </c>
      <c r="B165" s="277"/>
      <c r="C165" s="277"/>
      <c r="D165" s="173">
        <f>+D76</f>
        <v>12709193.406883065</v>
      </c>
      <c r="E165" s="112"/>
      <c r="F165" s="275">
        <f>ROUND(+F178*$D165,0)</f>
        <v>6433394</v>
      </c>
      <c r="G165" s="275"/>
      <c r="H165" s="686">
        <f>ROUND(+H178*$D165,0)</f>
        <v>1739889</v>
      </c>
      <c r="I165" s="275"/>
      <c r="J165" s="275">
        <f>ROUND(+J178*$D165,0)</f>
        <v>699006</v>
      </c>
      <c r="K165" s="275"/>
      <c r="L165" s="275">
        <f>ROUND(+L178*$D165,0)</f>
        <v>921417</v>
      </c>
      <c r="M165" s="275"/>
      <c r="N165" s="275">
        <f>ROUND(+N178*$D165,0)</f>
        <v>2792210</v>
      </c>
      <c r="O165" s="275"/>
      <c r="P165" s="275">
        <f t="shared" ref="P165" si="41">ROUND(+P178*$D165,0)</f>
        <v>124550</v>
      </c>
      <c r="Q165" s="12">
        <f t="shared" si="36"/>
        <v>1272.5931169353426</v>
      </c>
    </row>
    <row r="166" spans="1:17">
      <c r="A166" s="277"/>
      <c r="B166" s="277"/>
      <c r="C166" s="277"/>
      <c r="D166" s="112"/>
      <c r="E166" s="112"/>
      <c r="F166" s="112"/>
      <c r="G166" s="112"/>
      <c r="H166" s="112"/>
      <c r="I166" s="112"/>
      <c r="J166" s="112"/>
      <c r="K166" s="112"/>
      <c r="L166" s="342"/>
      <c r="M166" s="342"/>
      <c r="N166" s="342"/>
      <c r="O166" s="342"/>
      <c r="P166" s="342"/>
      <c r="Q166" s="12">
        <f t="shared" si="36"/>
        <v>0</v>
      </c>
    </row>
    <row r="167" spans="1:17">
      <c r="A167" s="277" t="s">
        <v>31</v>
      </c>
      <c r="B167" s="277"/>
      <c r="C167" s="277"/>
      <c r="D167" s="175">
        <f>+D159-D165</f>
        <v>33914419.723433197</v>
      </c>
      <c r="E167" s="687">
        <f t="shared" ref="E167:P167" si="42">+E159-E165</f>
        <v>0</v>
      </c>
      <c r="F167" s="332">
        <f t="shared" si="42"/>
        <v>18356031.080156267</v>
      </c>
      <c r="G167" s="332">
        <f t="shared" si="42"/>
        <v>0</v>
      </c>
      <c r="H167" s="332">
        <f t="shared" si="42"/>
        <v>5176727.4368239939</v>
      </c>
      <c r="I167" s="332">
        <f t="shared" si="42"/>
        <v>0</v>
      </c>
      <c r="J167" s="332">
        <f t="shared" si="42"/>
        <v>1993699.6703520007</v>
      </c>
      <c r="K167" s="332">
        <f t="shared" si="42"/>
        <v>0</v>
      </c>
      <c r="L167" s="332">
        <f t="shared" si="42"/>
        <v>2212226.6727839997</v>
      </c>
      <c r="M167" s="332">
        <f t="shared" si="42"/>
        <v>0</v>
      </c>
      <c r="N167" s="332">
        <f t="shared" si="42"/>
        <v>5895827.3584000003</v>
      </c>
      <c r="O167" s="332">
        <f t="shared" si="42"/>
        <v>0</v>
      </c>
      <c r="P167" s="332">
        <f t="shared" si="42"/>
        <v>278634.9118</v>
      </c>
      <c r="Q167" s="12">
        <f t="shared" si="36"/>
        <v>-1272.5931169390678</v>
      </c>
    </row>
    <row r="168" spans="1:17">
      <c r="A168" s="277"/>
      <c r="B168" s="277"/>
      <c r="C168" s="277"/>
      <c r="D168" s="112"/>
      <c r="E168" s="112"/>
      <c r="F168" s="112"/>
      <c r="G168" s="112"/>
      <c r="H168" s="112"/>
      <c r="I168" s="112"/>
      <c r="J168" s="112"/>
      <c r="K168" s="112"/>
      <c r="L168" s="342"/>
      <c r="M168" s="342"/>
      <c r="N168" s="342"/>
      <c r="O168" s="342"/>
      <c r="P168" s="342"/>
      <c r="Q168" s="12">
        <f t="shared" si="36"/>
        <v>0</v>
      </c>
    </row>
    <row r="169" spans="1:17">
      <c r="A169" s="277" t="s">
        <v>32</v>
      </c>
      <c r="B169" s="277"/>
      <c r="C169" s="277"/>
      <c r="D169" s="112"/>
      <c r="E169" s="112"/>
      <c r="F169" s="112"/>
      <c r="G169" s="112"/>
      <c r="H169" s="112"/>
      <c r="I169" s="112"/>
      <c r="J169" s="112"/>
      <c r="K169" s="112"/>
      <c r="L169" s="342"/>
      <c r="M169" s="342"/>
      <c r="N169" s="342"/>
      <c r="O169" s="342"/>
      <c r="P169" s="342"/>
      <c r="Q169" s="12">
        <f t="shared" si="36"/>
        <v>0</v>
      </c>
    </row>
    <row r="170" spans="1:17">
      <c r="A170" s="277" t="s">
        <v>33</v>
      </c>
      <c r="B170" s="277"/>
      <c r="C170" s="277"/>
      <c r="D170" s="574">
        <f>SUM(F170:P170)</f>
        <v>555974811</v>
      </c>
      <c r="E170" s="112"/>
      <c r="F170" s="175">
        <f>ROUND((+F81+[2]ROR!F81)/2,0)</f>
        <v>336703560</v>
      </c>
      <c r="G170" s="175">
        <f>ROUND((+G81+[2]ROR!G81)/2,0)</f>
        <v>0</v>
      </c>
      <c r="H170" s="175">
        <f>ROUND((+H81+[2]ROR!H81)/2,0)</f>
        <v>100977139</v>
      </c>
      <c r="I170" s="175">
        <f>ROUND((+I81+[2]ROR!I81)/2,0)</f>
        <v>0</v>
      </c>
      <c r="J170" s="175">
        <f>ROUND((+J81+[2]ROR!J81)/2,0)</f>
        <v>36605002</v>
      </c>
      <c r="K170" s="175">
        <f>ROUND((+K81+[2]ROR!K81)/2,0)</f>
        <v>0</v>
      </c>
      <c r="L170" s="175">
        <f>ROUND((+L81+[2]ROR!L81)/2,0)</f>
        <v>28922752</v>
      </c>
      <c r="M170" s="175">
        <f>ROUND((+M81+[2]ROR!M81)/2,0)</f>
        <v>0</v>
      </c>
      <c r="N170" s="175">
        <f>ROUND((+N81+[2]ROR!N81)/2,0)</f>
        <v>49737198</v>
      </c>
      <c r="O170" s="175">
        <f>ROUND((+O81+[2]ROR!O81)/2,0)</f>
        <v>0</v>
      </c>
      <c r="P170" s="175">
        <f>ROUND((+P81+[2]ROR!P81)/2,0)</f>
        <v>3029160</v>
      </c>
      <c r="Q170" s="12">
        <f t="shared" si="36"/>
        <v>0</v>
      </c>
    </row>
    <row r="171" spans="1:17">
      <c r="A171" s="277"/>
      <c r="B171" s="277"/>
      <c r="C171" s="277"/>
      <c r="D171" s="112"/>
      <c r="E171" s="112"/>
      <c r="F171" s="112"/>
      <c r="G171" s="112"/>
      <c r="H171" s="112"/>
      <c r="I171" s="112"/>
      <c r="J171" s="112"/>
      <c r="K171" s="112"/>
      <c r="L171" s="342"/>
      <c r="M171" s="342"/>
      <c r="N171" s="342"/>
      <c r="O171" s="342"/>
      <c r="P171" s="342"/>
    </row>
    <row r="172" spans="1:17">
      <c r="A172" s="277" t="s">
        <v>34</v>
      </c>
      <c r="B172" s="277"/>
      <c r="C172" s="277"/>
      <c r="D172" s="688">
        <f>D167/D170</f>
        <v>6.0999921313761092E-2</v>
      </c>
      <c r="E172" s="277"/>
      <c r="F172" s="688">
        <f>F167/F170</f>
        <v>5.4516890406968867E-2</v>
      </c>
      <c r="G172" s="277"/>
      <c r="H172" s="688">
        <f>H167/H170</f>
        <v>5.1266331053645656E-2</v>
      </c>
      <c r="I172" s="277"/>
      <c r="J172" s="688">
        <f>J167/J170</f>
        <v>5.4465225008101373E-2</v>
      </c>
      <c r="K172" s="277"/>
      <c r="L172" s="688">
        <f>L167/L170</f>
        <v>7.6487419758119832E-2</v>
      </c>
      <c r="M172" s="277"/>
      <c r="N172" s="688">
        <f>N167/N170</f>
        <v>0.11853959602629807</v>
      </c>
      <c r="O172" s="688"/>
      <c r="P172" s="688">
        <f t="shared" ref="P172" si="43">P167/P170</f>
        <v>9.1984217340780938E-2</v>
      </c>
    </row>
    <row r="173" spans="1:17">
      <c r="A173" s="277"/>
      <c r="B173" s="277"/>
      <c r="C173" s="277"/>
      <c r="D173" s="277"/>
      <c r="E173" s="277"/>
      <c r="F173" s="277"/>
      <c r="G173" s="277"/>
      <c r="H173" s="277"/>
      <c r="I173" s="277"/>
      <c r="J173" s="277"/>
      <c r="K173" s="277"/>
      <c r="L173" s="277"/>
      <c r="M173" s="277"/>
      <c r="N173" s="277"/>
      <c r="O173" s="277"/>
      <c r="P173" s="277"/>
    </row>
    <row r="174" spans="1:17">
      <c r="A174" s="277" t="s">
        <v>35</v>
      </c>
      <c r="B174" s="277"/>
      <c r="C174" s="277"/>
      <c r="D174" s="689">
        <f>D172/$D$172</f>
        <v>1</v>
      </c>
      <c r="E174" s="689"/>
      <c r="F174" s="689">
        <f t="shared" ref="F174:P174" si="44">F172/$D$172</f>
        <v>0.89372066771289904</v>
      </c>
      <c r="G174" s="689"/>
      <c r="H174" s="689">
        <f t="shared" si="44"/>
        <v>0.84043274072355867</v>
      </c>
      <c r="I174" s="689"/>
      <c r="J174" s="689">
        <f t="shared" si="44"/>
        <v>0.89287369286842766</v>
      </c>
      <c r="K174" s="689"/>
      <c r="L174" s="689">
        <f t="shared" si="44"/>
        <v>1.2538937446279113</v>
      </c>
      <c r="M174" s="689"/>
      <c r="N174" s="689">
        <f t="shared" si="44"/>
        <v>1.9432745727092682</v>
      </c>
      <c r="O174" s="689"/>
      <c r="P174" s="689">
        <f t="shared" si="44"/>
        <v>1.50793993434267</v>
      </c>
    </row>
    <row r="175" spans="1:17">
      <c r="A175" s="41"/>
      <c r="B175" s="41"/>
      <c r="C175" s="41"/>
    </row>
    <row r="176" spans="1:17">
      <c r="A176" s="41"/>
      <c r="B176" s="41"/>
      <c r="C176" s="41"/>
    </row>
    <row r="177" spans="1:17">
      <c r="A177" s="82" t="s">
        <v>36</v>
      </c>
      <c r="B177" s="41"/>
      <c r="C177" s="41"/>
      <c r="F177" s="87">
        <f>ROUND(+F170/$D170,4)</f>
        <v>0.60560000000000003</v>
      </c>
      <c r="G177" s="12"/>
      <c r="H177" s="87">
        <f>ROUND(+H170/$D170,4)</f>
        <v>0.18160000000000001</v>
      </c>
      <c r="I177" s="12"/>
      <c r="J177" s="87">
        <f>ROUND(+J170/$D170,4)</f>
        <v>6.5799999999999997E-2</v>
      </c>
      <c r="K177" s="12"/>
      <c r="L177" s="87">
        <f>ROUND(+L170/$D170,4)</f>
        <v>5.1999999999999998E-2</v>
      </c>
      <c r="M177" s="12"/>
      <c r="N177" s="87">
        <f>ROUND(+N170/$D170,4)</f>
        <v>8.9499999999999996E-2</v>
      </c>
      <c r="O177" s="87"/>
      <c r="P177" s="87">
        <f t="shared" ref="P177" si="45">ROUND(+P170/$D170,4)</f>
        <v>5.4000000000000003E-3</v>
      </c>
      <c r="Q177" s="81">
        <f>SUM(F177:P177)</f>
        <v>0.99990000000000001</v>
      </c>
    </row>
    <row r="178" spans="1:17">
      <c r="A178" s="82" t="s">
        <v>37</v>
      </c>
      <c r="B178" s="41"/>
      <c r="C178" s="41"/>
      <c r="F178" s="87">
        <f>ROUND(+F163/$D163,4)</f>
        <v>0.50619999999999998</v>
      </c>
      <c r="G178" s="12"/>
      <c r="H178" s="87">
        <f>ROUND(+H163/$D163,4)</f>
        <v>0.13689999999999999</v>
      </c>
      <c r="I178" s="12"/>
      <c r="J178" s="87">
        <f>ROUND(+J163/$D163,4)</f>
        <v>5.5E-2</v>
      </c>
      <c r="K178" s="12"/>
      <c r="L178" s="87">
        <f>ROUND(+L163/$D163,4)</f>
        <v>7.2499999999999995E-2</v>
      </c>
      <c r="M178" s="12"/>
      <c r="N178" s="87">
        <f>ROUND(+N163/$D163,4)</f>
        <v>0.21970000000000001</v>
      </c>
      <c r="O178" s="87"/>
      <c r="P178" s="87">
        <f t="shared" ref="P178" si="46">ROUND(+P163/$D163,4)</f>
        <v>9.7999999999999997E-3</v>
      </c>
      <c r="Q178" s="81">
        <f>SUM(F178:P178)</f>
        <v>1.0001</v>
      </c>
    </row>
  </sheetData>
  <phoneticPr fontId="10" type="noConversion"/>
  <pageMargins left="0.75" right="0.5" top="1" bottom="1" header="0.5" footer="0.5"/>
  <pageSetup scale="8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Q413"/>
  <sheetViews>
    <sheetView zoomScale="80" zoomScaleNormal="80" workbookViewId="0">
      <selection activeCell="U80" sqref="U80"/>
    </sheetView>
  </sheetViews>
  <sheetFormatPr defaultRowHeight="15"/>
  <cols>
    <col min="1" max="1" width="9.33203125" bestFit="1" customWidth="1"/>
    <col min="3" max="3" width="5.33203125" customWidth="1"/>
    <col min="4" max="4" width="13.77734375" bestFit="1" customWidth="1"/>
    <col min="5" max="5" width="2" customWidth="1"/>
    <col min="6" max="6" width="8.21875" customWidth="1"/>
    <col min="7" max="7" width="3" customWidth="1"/>
    <col min="8" max="8" width="13.6640625" bestFit="1" customWidth="1"/>
    <col min="9" max="9" width="2" customWidth="1"/>
    <col min="10" max="10" width="8.21875" customWidth="1"/>
    <col min="11" max="11" width="3.44140625" customWidth="1"/>
    <col min="12" max="12" width="13.77734375" bestFit="1" customWidth="1"/>
    <col min="13" max="13" width="1.33203125" customWidth="1"/>
    <col min="14" max="14" width="7.44140625" customWidth="1"/>
    <col min="15" max="15" width="2.5546875" customWidth="1"/>
    <col min="16" max="16" width="12.44140625" bestFit="1" customWidth="1"/>
    <col min="17" max="17" width="1.77734375" customWidth="1"/>
    <col min="20" max="20" width="12.33203125" customWidth="1"/>
    <col min="21" max="21" width="18.44140625" customWidth="1"/>
    <col min="23" max="23" width="2.77734375" customWidth="1"/>
    <col min="24" max="24" width="13.109375" customWidth="1"/>
    <col min="25" max="25" width="1.6640625" customWidth="1"/>
    <col min="26" max="26" width="13.6640625" customWidth="1"/>
    <col min="27" max="27" width="2.21875" customWidth="1"/>
    <col min="28" max="28" width="12" customWidth="1"/>
    <col min="29" max="29" width="1.33203125" customWidth="1"/>
    <col min="30" max="30" width="11.77734375" customWidth="1"/>
    <col min="31" max="31" width="1.33203125" customWidth="1"/>
    <col min="32" max="32" width="12" customWidth="1"/>
    <col min="33" max="33" width="1.33203125" customWidth="1"/>
    <col min="34" max="34" width="12.21875" bestFit="1" customWidth="1"/>
    <col min="35" max="35" width="1.109375" customWidth="1"/>
    <col min="36" max="36" width="12.109375" customWidth="1"/>
  </cols>
  <sheetData>
    <row r="1" spans="1:38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56"/>
      <c r="M1" s="12"/>
      <c r="N1" s="12"/>
      <c r="O1" s="12"/>
      <c r="Q1" s="12"/>
      <c r="R1" s="12"/>
      <c r="S1" s="27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57"/>
      <c r="AI1" s="57"/>
      <c r="AJ1" s="12"/>
      <c r="AK1" s="12"/>
      <c r="AL1" s="12"/>
    </row>
    <row r="2" spans="1:38" ht="15.75">
      <c r="A2" s="41" t="s">
        <v>282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58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57"/>
      <c r="AI2" s="57"/>
      <c r="AJ2" s="12"/>
      <c r="AK2" s="12"/>
      <c r="AL2" s="12"/>
    </row>
    <row r="3" spans="1:38">
      <c r="A3" s="89">
        <f ca="1">NOW()</f>
        <v>42754.418539236111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57"/>
      <c r="AI3" s="57"/>
      <c r="AJ3" s="12"/>
      <c r="AK3" s="12"/>
      <c r="AL3" s="12"/>
    </row>
    <row r="4" spans="1:38" ht="15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71"/>
      <c r="M4" s="12"/>
      <c r="N4" s="12"/>
      <c r="O4" s="12"/>
      <c r="P4" s="88" t="s">
        <v>3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57"/>
      <c r="AI4" s="57"/>
      <c r="AJ4" s="12"/>
      <c r="AK4" s="12"/>
      <c r="AL4" s="12"/>
    </row>
    <row r="5" spans="1:38">
      <c r="A5" s="62" t="s">
        <v>635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57"/>
      <c r="AI5" s="57"/>
      <c r="AJ5" s="12"/>
      <c r="AK5" s="12"/>
      <c r="AL5" s="12"/>
    </row>
    <row r="6" spans="1:38" ht="15.75">
      <c r="A6" s="10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05"/>
      <c r="P6" s="62"/>
      <c r="Q6" s="62"/>
      <c r="R6" s="6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57"/>
      <c r="AI6" s="57"/>
      <c r="AJ6" s="12"/>
      <c r="AK6" s="12"/>
      <c r="AL6" s="12"/>
    </row>
    <row r="7" spans="1:38" ht="15.75">
      <c r="A7" s="62" t="s">
        <v>130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58"/>
      <c r="AI7" s="58"/>
      <c r="AJ7" s="12"/>
      <c r="AK7" s="12"/>
      <c r="AL7" s="12"/>
    </row>
    <row r="8" spans="1:38">
      <c r="A8" s="62" t="s">
        <v>679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12"/>
      <c r="T8" s="12"/>
      <c r="U8" s="12"/>
      <c r="V8" s="12"/>
      <c r="W8" s="12"/>
      <c r="X8" s="12"/>
      <c r="Y8" s="12"/>
      <c r="Z8" s="72">
        <v>1</v>
      </c>
      <c r="AA8" s="12"/>
      <c r="AB8" s="72" t="s">
        <v>8</v>
      </c>
      <c r="AC8" s="12"/>
      <c r="AD8" s="12"/>
      <c r="AE8" s="12"/>
      <c r="AF8" s="12"/>
      <c r="AG8" s="12"/>
      <c r="AH8" s="57"/>
      <c r="AI8" s="57"/>
      <c r="AJ8" s="12"/>
      <c r="AK8" s="12"/>
      <c r="AL8" s="12"/>
    </row>
    <row r="9" spans="1:38" ht="15.75">
      <c r="A9" s="102" t="s">
        <v>464</v>
      </c>
      <c r="B9" s="293"/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57"/>
      <c r="AI9" s="57"/>
      <c r="AJ9" s="12"/>
      <c r="AK9" s="12"/>
      <c r="AL9" s="12"/>
    </row>
    <row r="10" spans="1:38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12"/>
      <c r="T10" s="12"/>
      <c r="U10" s="73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57"/>
      <c r="AI10" s="57"/>
      <c r="AJ10" s="74" t="s">
        <v>9</v>
      </c>
      <c r="AK10" s="12"/>
      <c r="AL10" s="12"/>
    </row>
    <row r="11" spans="1:38" ht="15.75">
      <c r="A11" s="41"/>
      <c r="B11" s="41"/>
      <c r="C11" s="41"/>
      <c r="D11" s="62" t="s">
        <v>182</v>
      </c>
      <c r="E11" s="62"/>
      <c r="F11" s="62"/>
      <c r="G11" s="41"/>
      <c r="H11" s="62" t="s">
        <v>434</v>
      </c>
      <c r="I11" s="62"/>
      <c r="J11" s="62"/>
      <c r="K11" s="62"/>
      <c r="L11" s="62"/>
      <c r="M11" s="62"/>
      <c r="N11" s="62"/>
      <c r="O11" s="41"/>
      <c r="P11" s="62" t="s">
        <v>583</v>
      </c>
      <c r="Q11" s="62"/>
      <c r="R11" s="62"/>
      <c r="S11" s="12"/>
      <c r="T11" s="12"/>
      <c r="U11" s="60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12"/>
      <c r="AL11" s="12"/>
    </row>
    <row r="12" spans="1:38">
      <c r="A12" s="62" t="s">
        <v>171</v>
      </c>
      <c r="B12" s="62"/>
      <c r="C12" s="41"/>
      <c r="D12" s="62" t="s">
        <v>2</v>
      </c>
      <c r="E12" s="62"/>
      <c r="F12" s="62"/>
      <c r="G12" s="41"/>
      <c r="H12" s="63" t="s">
        <v>4</v>
      </c>
      <c r="I12" s="63"/>
      <c r="J12" s="63"/>
      <c r="K12" s="64"/>
      <c r="L12" s="65" t="s">
        <v>582</v>
      </c>
      <c r="M12" s="63"/>
      <c r="N12" s="63"/>
      <c r="O12" s="41"/>
      <c r="P12" s="64"/>
      <c r="Q12" s="64"/>
      <c r="R12" s="66" t="s">
        <v>1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</row>
    <row r="13" spans="1:38">
      <c r="A13" s="508" t="s">
        <v>172</v>
      </c>
      <c r="B13" s="508"/>
      <c r="C13" s="41"/>
      <c r="D13" s="66" t="s">
        <v>5</v>
      </c>
      <c r="E13" s="64"/>
      <c r="F13" s="66" t="s">
        <v>1</v>
      </c>
      <c r="G13" s="41"/>
      <c r="H13" s="63" t="s">
        <v>5</v>
      </c>
      <c r="I13" s="63"/>
      <c r="J13" s="63" t="s">
        <v>1</v>
      </c>
      <c r="K13" s="41"/>
      <c r="L13" s="66" t="s">
        <v>5</v>
      </c>
      <c r="M13" s="64"/>
      <c r="N13" s="66" t="s">
        <v>1</v>
      </c>
      <c r="O13" s="41"/>
      <c r="P13" s="67" t="s">
        <v>5</v>
      </c>
      <c r="Q13" s="41"/>
      <c r="R13" s="67" t="s">
        <v>0</v>
      </c>
      <c r="S13" s="12"/>
      <c r="T13" s="12"/>
      <c r="AK13" s="12"/>
      <c r="AL13" s="12"/>
    </row>
    <row r="14" spans="1:38">
      <c r="A14" s="62" t="s">
        <v>173</v>
      </c>
      <c r="B14" s="62"/>
      <c r="C14" s="41"/>
      <c r="D14" s="90">
        <v>-2</v>
      </c>
      <c r="E14" s="41"/>
      <c r="F14" s="90">
        <v>-3</v>
      </c>
      <c r="G14" s="41"/>
      <c r="H14" s="90">
        <v>-4</v>
      </c>
      <c r="I14" s="41"/>
      <c r="J14" s="90">
        <v>-5</v>
      </c>
      <c r="K14" s="41"/>
      <c r="L14" s="90">
        <v>-6</v>
      </c>
      <c r="M14" s="41"/>
      <c r="N14" s="90">
        <v>-7</v>
      </c>
      <c r="O14" s="41"/>
      <c r="P14" s="90">
        <v>-8</v>
      </c>
      <c r="Q14" s="41"/>
      <c r="R14" s="90">
        <v>-9</v>
      </c>
      <c r="S14" s="12"/>
      <c r="T14" s="12"/>
      <c r="AK14" s="12"/>
      <c r="AL14" s="12"/>
    </row>
    <row r="15" spans="1:38" ht="13.9" customHeight="1">
      <c r="A15" s="77"/>
      <c r="B15" s="41"/>
      <c r="C15" s="41"/>
      <c r="D15" s="41"/>
      <c r="E15" s="41"/>
      <c r="F15" s="195"/>
      <c r="G15" s="41"/>
      <c r="H15" s="41"/>
      <c r="I15" s="41"/>
      <c r="J15" s="41"/>
      <c r="K15" s="41"/>
      <c r="L15" s="41"/>
      <c r="M15" s="41"/>
      <c r="N15" s="195"/>
      <c r="O15" s="41"/>
      <c r="P15" s="41"/>
      <c r="Q15" s="41"/>
      <c r="R15" s="41"/>
      <c r="S15" s="12"/>
      <c r="T15" s="12"/>
      <c r="AK15" s="12"/>
      <c r="AL15" s="12"/>
    </row>
    <row r="16" spans="1:38">
      <c r="A16" s="41" t="s">
        <v>322</v>
      </c>
      <c r="B16" s="41"/>
      <c r="C16" s="41"/>
      <c r="D16" s="391">
        <f>+Z73</f>
        <v>105075479</v>
      </c>
      <c r="E16" s="41"/>
      <c r="F16" s="237">
        <f>ROUND(+D16/D$28,3)</f>
        <v>0.63900000000000001</v>
      </c>
      <c r="G16" s="41"/>
      <c r="H16" s="391">
        <v>88666470.080156267</v>
      </c>
      <c r="I16" s="41"/>
      <c r="J16" s="69">
        <f>+ROUND(H16/$H$28,3)</f>
        <v>0.621</v>
      </c>
      <c r="K16" s="41"/>
      <c r="L16" s="391">
        <v>103680686.67270669</v>
      </c>
      <c r="M16" s="41"/>
      <c r="N16" s="237">
        <f>+ROUND(L16/$L$28,3)-0.002</f>
        <v>0.629</v>
      </c>
      <c r="O16" s="41"/>
      <c r="P16" s="391">
        <f>+L16-H16</f>
        <v>15014216.592550427</v>
      </c>
      <c r="Q16" s="41"/>
      <c r="R16" s="69">
        <f>+P16/H16</f>
        <v>0.16933364527737796</v>
      </c>
      <c r="S16" s="12"/>
      <c r="T16" s="12"/>
      <c r="AK16" s="12"/>
      <c r="AL16" s="12"/>
    </row>
    <row r="17" spans="1:38">
      <c r="A17" s="41"/>
      <c r="B17" s="41"/>
      <c r="C17" s="41"/>
      <c r="D17" s="41"/>
      <c r="E17" s="41"/>
      <c r="F17" s="195"/>
      <c r="G17" s="41"/>
      <c r="H17" s="391"/>
      <c r="I17" s="41"/>
      <c r="J17" s="41"/>
      <c r="K17" s="41"/>
      <c r="L17" s="41"/>
      <c r="M17" s="41"/>
      <c r="N17" s="195"/>
      <c r="O17" s="41"/>
      <c r="P17" s="41"/>
      <c r="Q17" s="41"/>
      <c r="R17" s="41"/>
      <c r="S17" s="12"/>
      <c r="T17" s="12"/>
      <c r="AK17" s="12"/>
      <c r="AL17" s="12"/>
    </row>
    <row r="18" spans="1:38">
      <c r="A18" s="41" t="s">
        <v>318</v>
      </c>
      <c r="B18" s="41"/>
      <c r="C18" s="41"/>
      <c r="D18" s="283">
        <f>+AB73</f>
        <v>26875477</v>
      </c>
      <c r="E18" s="41"/>
      <c r="F18" s="237">
        <f>ROUND(+D18/D$28,3)</f>
        <v>0.16300000000000001</v>
      </c>
      <c r="G18" s="41"/>
      <c r="H18" s="283">
        <v>21457704.436823994</v>
      </c>
      <c r="I18" s="41"/>
      <c r="J18" s="69">
        <f>+ROUND(H18/$H$28,3)</f>
        <v>0.15</v>
      </c>
      <c r="K18" s="41"/>
      <c r="L18" s="574">
        <v>26222989</v>
      </c>
      <c r="M18" s="41"/>
      <c r="N18" s="237">
        <f>+ROUND(L18/$L$28,3)</f>
        <v>0.16</v>
      </c>
      <c r="O18" s="41"/>
      <c r="P18" s="283">
        <f>+L18-H18</f>
        <v>4765284.5631760061</v>
      </c>
      <c r="Q18" s="41"/>
      <c r="R18" s="69">
        <f>+P18/H18</f>
        <v>0.2220780222416619</v>
      </c>
      <c r="S18" s="12"/>
      <c r="T18" s="12"/>
      <c r="AK18" s="12"/>
      <c r="AL18" s="12"/>
    </row>
    <row r="19" spans="1:38">
      <c r="A19" s="41"/>
      <c r="B19" s="41"/>
      <c r="C19" s="41"/>
      <c r="D19" s="41"/>
      <c r="E19" s="41"/>
      <c r="F19" s="195"/>
      <c r="G19" s="41"/>
      <c r="H19" s="41"/>
      <c r="I19" s="41"/>
      <c r="J19" s="41"/>
      <c r="K19" s="41"/>
      <c r="L19" s="41"/>
      <c r="M19" s="41"/>
      <c r="N19" s="195"/>
      <c r="O19" s="41"/>
      <c r="P19" s="41"/>
      <c r="Q19" s="41"/>
      <c r="R19" s="41"/>
      <c r="S19" s="12"/>
      <c r="T19" s="12"/>
      <c r="AK19" s="12"/>
      <c r="AL19" s="12"/>
    </row>
    <row r="20" spans="1:38">
      <c r="A20" s="41" t="s">
        <v>319</v>
      </c>
      <c r="B20" s="41"/>
      <c r="C20" s="41"/>
      <c r="D20" s="283">
        <f>+AD73</f>
        <v>9602254</v>
      </c>
      <c r="E20" s="41"/>
      <c r="F20" s="237">
        <f>ROUND(+D20/D$28,3)</f>
        <v>5.8000000000000003E-2</v>
      </c>
      <c r="G20" s="41"/>
      <c r="H20" s="283">
        <v>7840831.6703520007</v>
      </c>
      <c r="I20" s="41"/>
      <c r="J20" s="69">
        <f>+ROUND(H20/$H$28,3)</f>
        <v>5.5E-2</v>
      </c>
      <c r="K20" s="41"/>
      <c r="L20" s="283">
        <v>9464319.0010000002</v>
      </c>
      <c r="M20" s="41"/>
      <c r="N20" s="237">
        <f>+ROUND(L20/$L$28,3)</f>
        <v>5.8000000000000003E-2</v>
      </c>
      <c r="O20" s="41"/>
      <c r="P20" s="283">
        <f>+L20-H20</f>
        <v>1623487.3306479994</v>
      </c>
      <c r="Q20" s="41"/>
      <c r="R20" s="69">
        <f>+P20/H20</f>
        <v>0.20705550111307461</v>
      </c>
      <c r="S20" s="12"/>
      <c r="T20" s="12"/>
      <c r="AK20" s="12"/>
      <c r="AL20" s="12"/>
    </row>
    <row r="21" spans="1:38">
      <c r="A21" s="41"/>
      <c r="B21" s="41"/>
      <c r="C21" s="41"/>
      <c r="D21" s="41"/>
      <c r="E21" s="41"/>
      <c r="F21" s="195"/>
      <c r="G21" s="41"/>
      <c r="H21" s="41"/>
      <c r="I21" s="41"/>
      <c r="J21" s="41"/>
      <c r="K21" s="41"/>
      <c r="L21" s="41"/>
      <c r="M21" s="41"/>
      <c r="N21" s="195"/>
      <c r="O21" s="41"/>
      <c r="P21" s="41"/>
      <c r="Q21" s="41"/>
      <c r="R21" s="41"/>
      <c r="S21" s="12"/>
      <c r="T21" s="12"/>
      <c r="AK21" s="12"/>
      <c r="AL21" s="12"/>
    </row>
    <row r="22" spans="1:38">
      <c r="A22" s="41" t="s">
        <v>320</v>
      </c>
      <c r="B22" s="41"/>
      <c r="C22" s="41"/>
      <c r="D22" s="283">
        <f>+AF73</f>
        <v>7486668</v>
      </c>
      <c r="E22" s="41"/>
      <c r="F22" s="237">
        <f>ROUND(+D22/D$28,3)</f>
        <v>4.5999999999999999E-2</v>
      </c>
      <c r="G22" s="41"/>
      <c r="H22" s="283">
        <v>7132565.6727839997</v>
      </c>
      <c r="I22" s="41"/>
      <c r="J22" s="69">
        <f>+ROUND(H22/$H$28,3)</f>
        <v>0.05</v>
      </c>
      <c r="K22" s="41"/>
      <c r="L22" s="283">
        <v>7553329.7804598045</v>
      </c>
      <c r="M22" s="41"/>
      <c r="N22" s="237">
        <f>+ROUND(L22/$L$28,3)</f>
        <v>4.5999999999999999E-2</v>
      </c>
      <c r="O22" s="41"/>
      <c r="P22" s="283">
        <f>+L22-H22</f>
        <v>420764.10767580476</v>
      </c>
      <c r="Q22" s="41"/>
      <c r="R22" s="69">
        <f>+P22/H22</f>
        <v>5.8991971049257949E-2</v>
      </c>
      <c r="S22" s="12"/>
      <c r="T22" s="12"/>
      <c r="AK22" s="12"/>
      <c r="AL22" s="12"/>
    </row>
    <row r="23" spans="1:38" ht="15" customHeight="1">
      <c r="A23" s="41"/>
      <c r="B23" s="41"/>
      <c r="C23" s="41"/>
      <c r="D23" s="41"/>
      <c r="E23" s="41"/>
      <c r="F23" s="195"/>
      <c r="G23" s="41"/>
      <c r="H23" s="41"/>
      <c r="I23" s="41"/>
      <c r="J23" s="41"/>
      <c r="K23" s="41"/>
      <c r="L23" s="41"/>
      <c r="M23" s="41"/>
      <c r="N23" s="195"/>
      <c r="O23" s="41"/>
      <c r="P23" s="41"/>
      <c r="Q23" s="41"/>
      <c r="R23" s="41"/>
      <c r="S23" s="12"/>
      <c r="T23" s="12"/>
      <c r="AK23" s="12"/>
      <c r="AL23" s="12"/>
    </row>
    <row r="24" spans="1:38">
      <c r="A24" s="41" t="s">
        <v>468</v>
      </c>
      <c r="B24" s="41"/>
      <c r="C24" s="41"/>
      <c r="D24" s="283">
        <f>+AH73</f>
        <v>14101633.388671299</v>
      </c>
      <c r="E24" s="41"/>
      <c r="F24" s="237">
        <f>ROUND(+D24/D$28,3)</f>
        <v>8.5999999999999993E-2</v>
      </c>
      <c r="G24" s="41"/>
      <c r="H24" s="283">
        <v>16684990.3584</v>
      </c>
      <c r="I24" s="41"/>
      <c r="J24" s="69">
        <f>+ROUND(H24/$H$28,3)</f>
        <v>0.11700000000000001</v>
      </c>
      <c r="K24" s="41"/>
      <c r="L24" s="283">
        <v>16550361</v>
      </c>
      <c r="M24" s="41"/>
      <c r="N24" s="237">
        <f>+ROUND(L24/$L$28,3)</f>
        <v>0.10100000000000001</v>
      </c>
      <c r="O24" s="41"/>
      <c r="P24" s="283">
        <f>+L24-H24</f>
        <v>-134629.35840000026</v>
      </c>
      <c r="Q24" s="41"/>
      <c r="R24" s="69">
        <f>+P24/H24</f>
        <v>-8.0688903923892032E-3</v>
      </c>
      <c r="S24" s="12"/>
      <c r="T24" s="12"/>
      <c r="AK24" s="12"/>
      <c r="AL24" s="12"/>
    </row>
    <row r="25" spans="1:38">
      <c r="A25" s="41"/>
      <c r="B25" s="41"/>
      <c r="C25" s="41"/>
      <c r="D25" s="283"/>
      <c r="E25" s="41"/>
      <c r="F25" s="237"/>
      <c r="G25" s="41"/>
      <c r="H25" s="283"/>
      <c r="I25" s="41"/>
      <c r="J25" s="69"/>
      <c r="K25" s="41"/>
      <c r="L25" s="283"/>
      <c r="M25" s="41"/>
      <c r="N25" s="237"/>
      <c r="O25" s="41"/>
      <c r="P25" s="283"/>
      <c r="Q25" s="41"/>
      <c r="R25" s="69"/>
      <c r="S25" s="12"/>
      <c r="T25" s="12"/>
      <c r="AK25" s="12"/>
      <c r="AL25" s="12"/>
    </row>
    <row r="26" spans="1:38" ht="17.45" customHeight="1">
      <c r="A26" s="41" t="s">
        <v>427</v>
      </c>
      <c r="B26" s="41"/>
      <c r="C26" s="41"/>
      <c r="D26" s="283">
        <f>+AJ73</f>
        <v>1247439</v>
      </c>
      <c r="E26" s="41"/>
      <c r="F26" s="237">
        <f>ROUND(+D26/D$28,3)</f>
        <v>8.0000000000000002E-3</v>
      </c>
      <c r="G26" s="41"/>
      <c r="H26" s="283">
        <v>944999.9118</v>
      </c>
      <c r="I26" s="41"/>
      <c r="J26" s="572">
        <f>+ROUND(H26/$H$28,3)</f>
        <v>7.0000000000000001E-3</v>
      </c>
      <c r="K26" s="41"/>
      <c r="L26" s="283">
        <v>916738</v>
      </c>
      <c r="M26" s="41"/>
      <c r="N26" s="572">
        <f t="shared" ref="N26" si="0">+ROUND(L26/$L$28,3)</f>
        <v>6.0000000000000001E-3</v>
      </c>
      <c r="O26" s="41"/>
      <c r="P26" s="283">
        <f t="shared" ref="P26" si="1">+L26-H26</f>
        <v>-28261.911800000002</v>
      </c>
      <c r="Q26" s="41"/>
      <c r="R26" s="69">
        <f t="shared" ref="R26" si="2">+P26/H26</f>
        <v>-2.9906787764845167E-2</v>
      </c>
      <c r="S26" s="12"/>
      <c r="T26" s="12"/>
      <c r="AK26" s="12"/>
      <c r="AL26" s="12"/>
    </row>
    <row r="27" spans="1:38">
      <c r="A27" s="41"/>
      <c r="B27" s="41"/>
      <c r="C27" s="41"/>
      <c r="D27" s="64"/>
      <c r="E27" s="41"/>
      <c r="F27" s="64"/>
      <c r="G27" s="41"/>
      <c r="H27" s="64"/>
      <c r="I27" s="41"/>
      <c r="J27" s="195"/>
      <c r="K27" s="41"/>
      <c r="L27" s="64"/>
      <c r="M27" s="41"/>
      <c r="N27" s="195"/>
      <c r="O27" s="41"/>
      <c r="P27" s="64"/>
      <c r="Q27" s="41"/>
      <c r="R27" s="41"/>
      <c r="S27" s="12"/>
      <c r="T27" s="12"/>
      <c r="AK27" s="12"/>
      <c r="AL27" s="12"/>
    </row>
    <row r="28" spans="1:38" ht="15.75" thickBot="1">
      <c r="A28" s="41" t="s">
        <v>176</v>
      </c>
      <c r="B28" s="41"/>
      <c r="C28" s="41"/>
      <c r="D28" s="391">
        <f>SUM(D16:D26)</f>
        <v>164388950.38867131</v>
      </c>
      <c r="E28" s="41"/>
      <c r="F28" s="69">
        <f>SUM(F16:F26)</f>
        <v>1</v>
      </c>
      <c r="G28" s="41"/>
      <c r="H28" s="391">
        <f>SUM(H16:H26)</f>
        <v>142727562.13031626</v>
      </c>
      <c r="I28" s="41"/>
      <c r="J28" s="69">
        <f>SUM(J16:J26)</f>
        <v>1</v>
      </c>
      <c r="K28" s="41"/>
      <c r="L28" s="391">
        <f>SUM(L16:L26)</f>
        <v>164388423.45416647</v>
      </c>
      <c r="M28" s="41"/>
      <c r="N28" s="69">
        <f>SUM(N16:N26)</f>
        <v>1</v>
      </c>
      <c r="O28" s="41"/>
      <c r="P28" s="391">
        <f>SUM(P16:P26)</f>
        <v>21660861.323850233</v>
      </c>
      <c r="Q28" s="41"/>
      <c r="R28" s="69">
        <f>+P28/H28</f>
        <v>0.15176368881066543</v>
      </c>
      <c r="S28" s="12"/>
      <c r="T28" s="12"/>
      <c r="AK28" s="12"/>
      <c r="AL28" s="12"/>
    </row>
    <row r="29" spans="1:38" ht="15.75" thickTop="1">
      <c r="A29" s="41"/>
      <c r="B29" s="41"/>
      <c r="C29" s="41"/>
      <c r="D29" s="70"/>
      <c r="E29" s="41"/>
      <c r="F29" s="70"/>
      <c r="G29" s="41"/>
      <c r="H29" s="70"/>
      <c r="I29" s="41"/>
      <c r="J29" s="70"/>
      <c r="K29" s="41"/>
      <c r="L29" s="70"/>
      <c r="M29" s="41"/>
      <c r="N29" s="70"/>
      <c r="O29" s="41"/>
      <c r="P29" s="70"/>
      <c r="Q29" s="41"/>
      <c r="R29" s="41"/>
      <c r="S29" s="12"/>
      <c r="T29" s="12"/>
      <c r="AK29" s="12"/>
      <c r="AL29" s="12"/>
    </row>
    <row r="30" spans="1:38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69"/>
      <c r="S30" s="12"/>
      <c r="T30" s="12"/>
      <c r="AK30" s="12"/>
      <c r="AL30" s="12"/>
    </row>
    <row r="31" spans="1:38">
      <c r="A31" s="41" t="s">
        <v>6</v>
      </c>
      <c r="B31" s="41"/>
      <c r="C31" s="41"/>
      <c r="D31" s="239">
        <f>+Alloc!$I$227</f>
        <v>2278000</v>
      </c>
      <c r="E31" s="41"/>
      <c r="F31" s="41"/>
      <c r="G31" s="41"/>
      <c r="H31" s="239">
        <f>+Alloc!$I$227</f>
        <v>2278000</v>
      </c>
      <c r="I31" s="41"/>
      <c r="J31" s="195"/>
      <c r="K31" s="41"/>
      <c r="L31" s="239">
        <f>+Alloc!$I$227</f>
        <v>2278000</v>
      </c>
      <c r="M31" s="41"/>
      <c r="N31" s="41"/>
      <c r="O31" s="41"/>
      <c r="P31" s="41">
        <f>+L31-H31</f>
        <v>0</v>
      </c>
      <c r="Q31" s="41"/>
      <c r="R31" s="69"/>
      <c r="S31" s="12"/>
      <c r="T31" s="12"/>
      <c r="AK31" s="12"/>
      <c r="AL31" s="12"/>
    </row>
    <row r="32" spans="1:38">
      <c r="A32" s="41"/>
      <c r="B32" s="41"/>
      <c r="C32" s="41"/>
      <c r="D32" s="64"/>
      <c r="E32" s="41"/>
      <c r="F32" s="41"/>
      <c r="G32" s="41"/>
      <c r="H32" s="64"/>
      <c r="I32" s="41"/>
      <c r="J32" s="195"/>
      <c r="K32" s="41"/>
      <c r="L32" s="64"/>
      <c r="M32" s="41"/>
      <c r="N32" s="41"/>
      <c r="O32" s="41"/>
      <c r="P32" s="64"/>
      <c r="Q32" s="41"/>
      <c r="R32" s="41"/>
      <c r="S32" s="12"/>
      <c r="T32" s="12"/>
      <c r="AK32" s="12"/>
      <c r="AL32" s="12"/>
    </row>
    <row r="33" spans="1:38" ht="15.75" thickBot="1">
      <c r="A33" s="41" t="s">
        <v>7</v>
      </c>
      <c r="B33" s="41"/>
      <c r="C33" s="41"/>
      <c r="D33" s="286">
        <f>SUM(D28:D31)</f>
        <v>166666950.38867131</v>
      </c>
      <c r="E33" s="41"/>
      <c r="F33" s="41"/>
      <c r="G33" s="41"/>
      <c r="H33" s="286">
        <f>SUM(H28:H31)</f>
        <v>145005562.13031626</v>
      </c>
      <c r="I33" s="68"/>
      <c r="J33" s="257"/>
      <c r="K33" s="68"/>
      <c r="L33" s="286">
        <f>SUM(L28:L31)</f>
        <v>166666423.45416647</v>
      </c>
      <c r="M33" s="68"/>
      <c r="N33" s="68"/>
      <c r="O33" s="68"/>
      <c r="P33" s="286">
        <f>SUM(P28:P31)</f>
        <v>21660861.323850233</v>
      </c>
      <c r="Q33" s="41"/>
      <c r="R33" s="69">
        <f>+P33/H33</f>
        <v>0.14937952038269853</v>
      </c>
      <c r="S33" s="12"/>
      <c r="T33" s="12"/>
      <c r="AK33" s="12"/>
      <c r="AL33" s="12"/>
    </row>
    <row r="34" spans="1:38" ht="15.75" thickTop="1">
      <c r="A34" s="12"/>
      <c r="B34" s="12"/>
      <c r="C34" s="12"/>
      <c r="D34" s="12"/>
      <c r="E34" s="12"/>
      <c r="F34" s="12"/>
      <c r="G34" s="12"/>
      <c r="H34" s="182"/>
      <c r="I34" s="12"/>
      <c r="J34" s="182"/>
      <c r="K34" s="12"/>
      <c r="L34" s="182"/>
      <c r="M34" s="12"/>
      <c r="N34" s="12"/>
      <c r="O34" s="12"/>
      <c r="P34" s="182"/>
      <c r="Q34" s="12"/>
      <c r="R34" s="12"/>
      <c r="S34" s="12"/>
      <c r="T34" s="12"/>
      <c r="AK34" s="12"/>
      <c r="AL34" s="12"/>
    </row>
    <row r="35" spans="1:38">
      <c r="A35" s="424"/>
      <c r="B35" s="467"/>
      <c r="C35" s="467"/>
      <c r="D35" s="12"/>
      <c r="E35" s="12"/>
      <c r="F35" s="12"/>
      <c r="G35" s="12"/>
      <c r="M35" s="12"/>
      <c r="N35" s="12"/>
      <c r="O35" s="12"/>
      <c r="P35" s="12"/>
      <c r="Q35" s="12"/>
      <c r="R35" s="12"/>
      <c r="S35" s="12"/>
      <c r="T35" s="12"/>
      <c r="AK35" s="12"/>
      <c r="AL35" s="12"/>
    </row>
    <row r="36" spans="1:38">
      <c r="A36" s="468"/>
      <c r="B36" s="12"/>
      <c r="C36" s="12"/>
      <c r="D36" s="12"/>
      <c r="E36" s="12"/>
      <c r="F36" s="12"/>
      <c r="G36" s="12"/>
      <c r="L36" s="735">
        <f>+L33-D33</f>
        <v>-526.93450483679771</v>
      </c>
      <c r="M36" s="737" t="s">
        <v>691</v>
      </c>
      <c r="N36" s="12"/>
      <c r="O36" s="12"/>
      <c r="P36" s="12"/>
      <c r="Q36" s="12"/>
      <c r="R36" s="12"/>
      <c r="S36" s="12"/>
      <c r="T36" s="12"/>
      <c r="AK36" s="12"/>
      <c r="AL36" s="12"/>
    </row>
    <row r="37" spans="1:38">
      <c r="A37" s="468"/>
      <c r="B37" s="12"/>
      <c r="C37" s="12"/>
      <c r="D37" s="12">
        <v>63561632.775106668</v>
      </c>
      <c r="E37" s="12" t="s">
        <v>688</v>
      </c>
      <c r="F37" s="12"/>
      <c r="G37" s="12"/>
      <c r="H37" s="467">
        <v>67294166.775106668</v>
      </c>
      <c r="I37" s="12" t="s">
        <v>689</v>
      </c>
      <c r="K37" s="12"/>
      <c r="L37" s="467">
        <f>+H37</f>
        <v>67294166.775106668</v>
      </c>
      <c r="M37" s="12"/>
      <c r="N37" s="12"/>
      <c r="O37" s="12"/>
      <c r="P37" s="12">
        <f>+L37-D37</f>
        <v>3732534</v>
      </c>
      <c r="Q37" s="12"/>
      <c r="R37" s="12"/>
      <c r="S37" s="12"/>
      <c r="T37" s="12"/>
      <c r="AK37" s="12"/>
      <c r="AL37" s="12"/>
    </row>
    <row r="38" spans="1:38">
      <c r="A38" s="12"/>
      <c r="B38" s="12"/>
      <c r="C38" s="12"/>
      <c r="D38" s="12">
        <f>+D37+D33</f>
        <v>230228583.16377798</v>
      </c>
      <c r="E38" s="12"/>
      <c r="F38" s="12"/>
      <c r="G38" s="12"/>
      <c r="H38" s="12">
        <f>+H37+H33</f>
        <v>212299728.90542293</v>
      </c>
      <c r="I38" s="12"/>
      <c r="J38" s="12" t="s">
        <v>586</v>
      </c>
      <c r="K38" s="12"/>
      <c r="L38" s="12">
        <f>+L37+L33</f>
        <v>233960590.22927314</v>
      </c>
      <c r="M38" s="12"/>
      <c r="N38" s="12"/>
      <c r="O38" s="12"/>
      <c r="P38" s="12"/>
      <c r="Q38" s="12"/>
      <c r="R38" s="12"/>
      <c r="S38" s="12"/>
      <c r="T38" s="12"/>
      <c r="AK38" s="12"/>
      <c r="AL38" s="12"/>
    </row>
    <row r="39" spans="1:38">
      <c r="A39" s="12"/>
      <c r="B39" s="12"/>
      <c r="C39" s="12"/>
      <c r="D39" s="585">
        <v>230229147.13366306</v>
      </c>
      <c r="E39" s="586" t="s">
        <v>579</v>
      </c>
      <c r="F39" s="585"/>
      <c r="G39" s="585"/>
      <c r="H39" s="585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62" t="s">
        <v>635</v>
      </c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75"/>
      <c r="AI39" s="75"/>
      <c r="AJ39" s="62"/>
      <c r="AK39" s="12"/>
      <c r="AL39" s="12"/>
    </row>
    <row r="40" spans="1:38" ht="15.75">
      <c r="A40" s="12"/>
      <c r="B40" s="12"/>
      <c r="C40" s="12"/>
      <c r="D40" s="12">
        <f>+D38-D39</f>
        <v>-563.96988508105278</v>
      </c>
      <c r="E40" s="586" t="s">
        <v>687</v>
      </c>
      <c r="F40" s="585" t="s">
        <v>686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04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101"/>
      <c r="AH40" s="105"/>
      <c r="AI40" s="105"/>
      <c r="AJ40" s="62"/>
      <c r="AK40" s="12"/>
      <c r="AL40" s="12"/>
    </row>
    <row r="41" spans="1:3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62" t="s">
        <v>10</v>
      </c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75"/>
      <c r="AI41" s="75"/>
      <c r="AJ41" s="62"/>
      <c r="AK41" s="12"/>
      <c r="AL41" s="12"/>
    </row>
    <row r="42" spans="1:3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29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75"/>
      <c r="AI42" s="75"/>
      <c r="AJ42" s="62"/>
      <c r="AK42" s="12"/>
      <c r="AL42" s="12"/>
    </row>
    <row r="43" spans="1:3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41"/>
      <c r="V43" s="41"/>
      <c r="W43" s="41"/>
      <c r="X43" s="67" t="s">
        <v>216</v>
      </c>
      <c r="Y43" s="41"/>
      <c r="Z43" s="41"/>
      <c r="AA43" s="41"/>
      <c r="AC43" s="41"/>
      <c r="AD43" s="67"/>
      <c r="AE43" s="67"/>
      <c r="AF43" s="67"/>
      <c r="AG43" s="41"/>
      <c r="AH43" s="76"/>
      <c r="AI43" s="76"/>
      <c r="AJ43" s="41"/>
      <c r="AK43" s="12"/>
      <c r="AL43" s="12"/>
    </row>
    <row r="44" spans="1:3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41"/>
      <c r="V44" s="41"/>
      <c r="W44" s="41"/>
      <c r="X44" s="67" t="s">
        <v>171</v>
      </c>
      <c r="Y44" s="41"/>
      <c r="Z44" s="67"/>
      <c r="AA44" s="41"/>
      <c r="AB44" s="180"/>
      <c r="AC44" s="41"/>
      <c r="AD44" s="67"/>
      <c r="AE44" s="67"/>
      <c r="AF44" s="67"/>
      <c r="AG44" s="41"/>
      <c r="AH44" s="76"/>
      <c r="AI44" s="76"/>
      <c r="AJ44" s="67"/>
      <c r="AK44" s="12"/>
      <c r="AL44" s="12"/>
    </row>
    <row r="45" spans="1:3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62" t="s">
        <v>11</v>
      </c>
      <c r="V45" s="62"/>
      <c r="W45" s="41"/>
      <c r="X45" s="67" t="s">
        <v>12</v>
      </c>
      <c r="Y45" s="41"/>
      <c r="Z45" s="67" t="s">
        <v>322</v>
      </c>
      <c r="AA45" s="41"/>
      <c r="AB45" s="179" t="s">
        <v>318</v>
      </c>
      <c r="AC45" s="41"/>
      <c r="AD45" s="67" t="s">
        <v>319</v>
      </c>
      <c r="AE45" s="67"/>
      <c r="AF45" s="67" t="s">
        <v>320</v>
      </c>
      <c r="AG45" s="41"/>
      <c r="AH45" s="76" t="s">
        <v>468</v>
      </c>
      <c r="AI45" s="76"/>
      <c r="AJ45" s="67" t="s">
        <v>427</v>
      </c>
      <c r="AK45" s="12"/>
      <c r="AL45" s="12"/>
    </row>
    <row r="46" spans="1:3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63" t="s">
        <v>173</v>
      </c>
      <c r="V46" s="63"/>
      <c r="W46" s="41"/>
      <c r="X46" s="90">
        <v>-2</v>
      </c>
      <c r="Y46" s="41"/>
      <c r="Z46" s="90">
        <f>+X46-1</f>
        <v>-3</v>
      </c>
      <c r="AA46" s="41"/>
      <c r="AB46" s="90">
        <f>+Z46-1</f>
        <v>-4</v>
      </c>
      <c r="AC46" s="41"/>
      <c r="AD46" s="90">
        <f>+AB46-1</f>
        <v>-5</v>
      </c>
      <c r="AE46" s="41"/>
      <c r="AF46" s="90">
        <f>+AD46-1</f>
        <v>-6</v>
      </c>
      <c r="AG46" s="67"/>
      <c r="AH46" s="90">
        <v>-7</v>
      </c>
      <c r="AI46" s="495"/>
      <c r="AJ46" s="90">
        <v>-8</v>
      </c>
      <c r="AK46" s="12"/>
      <c r="AL46" s="12"/>
    </row>
    <row r="47" spans="1:3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68"/>
      <c r="AI47" s="68"/>
      <c r="AJ47" s="41"/>
      <c r="AK47" s="12"/>
      <c r="AL47" s="12"/>
    </row>
    <row r="48" spans="1:3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77" t="s">
        <v>254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68"/>
      <c r="AI48" s="68"/>
      <c r="AJ48" s="41"/>
      <c r="AK48" s="12"/>
      <c r="AL48" s="12"/>
    </row>
    <row r="49" spans="1:4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41" t="s">
        <v>323</v>
      </c>
      <c r="V49" s="41"/>
      <c r="W49" s="41"/>
      <c r="X49" s="391">
        <f>+Alloc!K230</f>
        <v>43761493</v>
      </c>
      <c r="Y49" s="41"/>
      <c r="Z49" s="391">
        <f>X49</f>
        <v>43761493</v>
      </c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12"/>
      <c r="AL49" s="12"/>
    </row>
    <row r="50" spans="1:4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41" t="s">
        <v>331</v>
      </c>
      <c r="V50" s="41"/>
      <c r="W50" s="41"/>
      <c r="X50" s="283">
        <f>+Alloc!M230</f>
        <v>17375881</v>
      </c>
      <c r="Y50" s="41"/>
      <c r="Z50" s="391"/>
      <c r="AA50" s="391"/>
      <c r="AB50" s="391">
        <f>X50</f>
        <v>17375881</v>
      </c>
      <c r="AC50" s="391"/>
      <c r="AD50" s="391"/>
      <c r="AE50" s="391"/>
      <c r="AF50" s="391"/>
      <c r="AG50" s="391"/>
      <c r="AH50" s="391"/>
      <c r="AI50" s="391"/>
      <c r="AJ50" s="391"/>
      <c r="AK50" s="12"/>
      <c r="AL50" s="12"/>
    </row>
    <row r="51" spans="1:4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41" t="s">
        <v>332</v>
      </c>
      <c r="V51" s="41"/>
      <c r="W51" s="41"/>
      <c r="X51" s="283">
        <f>+Alloc!O230</f>
        <v>7376825</v>
      </c>
      <c r="Y51" s="41"/>
      <c r="Z51" s="391"/>
      <c r="AA51" s="391"/>
      <c r="AB51" s="391"/>
      <c r="AC51" s="391"/>
      <c r="AD51" s="391">
        <f>X51</f>
        <v>7376825</v>
      </c>
      <c r="AE51" s="391"/>
      <c r="AF51" s="391"/>
      <c r="AG51" s="391"/>
      <c r="AH51" s="391"/>
      <c r="AI51" s="391"/>
      <c r="AJ51" s="392"/>
      <c r="AK51" s="12"/>
      <c r="AL51" s="12"/>
    </row>
    <row r="52" spans="1:4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41" t="s">
        <v>333</v>
      </c>
      <c r="V52" s="41"/>
      <c r="W52" s="41"/>
      <c r="X52" s="283">
        <f>+Alloc!Q230</f>
        <v>5473397</v>
      </c>
      <c r="Y52" s="41"/>
      <c r="Z52" s="391"/>
      <c r="AA52" s="391"/>
      <c r="AB52" s="391"/>
      <c r="AC52" s="391"/>
      <c r="AD52" s="391"/>
      <c r="AE52" s="391"/>
      <c r="AF52" s="391">
        <f>+X52</f>
        <v>5473397</v>
      </c>
      <c r="AG52" s="391"/>
      <c r="AH52" s="391"/>
      <c r="AI52" s="391"/>
      <c r="AJ52" s="392"/>
      <c r="AK52" s="12"/>
      <c r="AL52" s="12"/>
    </row>
    <row r="53" spans="1:4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41" t="s">
        <v>470</v>
      </c>
      <c r="V53" s="41"/>
      <c r="W53" s="41"/>
      <c r="X53" s="283">
        <f>+Alloc!S230</f>
        <v>13623673.388671299</v>
      </c>
      <c r="Y53" s="41"/>
      <c r="Z53" s="391"/>
      <c r="AA53" s="391"/>
      <c r="AB53" s="391"/>
      <c r="AC53" s="391"/>
      <c r="AD53" s="391"/>
      <c r="AE53" s="391"/>
      <c r="AF53" s="391"/>
      <c r="AG53" s="391"/>
      <c r="AH53" s="391">
        <f>X53</f>
        <v>13623673.388671299</v>
      </c>
      <c r="AI53" s="391"/>
      <c r="AJ53" s="392"/>
      <c r="AK53" s="12"/>
      <c r="AL53" s="12"/>
      <c r="AM53" s="36"/>
      <c r="AN53" s="36"/>
      <c r="AO53" s="36"/>
      <c r="AP53" s="36"/>
    </row>
    <row r="54" spans="1:4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41" t="s">
        <v>432</v>
      </c>
      <c r="X54" s="334">
        <f>+Alloc!U230</f>
        <v>688657</v>
      </c>
      <c r="Z54" s="393"/>
      <c r="AA54" s="333"/>
      <c r="AB54" s="393"/>
      <c r="AC54" s="333"/>
      <c r="AD54" s="393"/>
      <c r="AE54" s="333"/>
      <c r="AF54" s="393"/>
      <c r="AG54" s="333"/>
      <c r="AH54" s="393"/>
      <c r="AI54" s="507"/>
      <c r="AJ54" s="393">
        <f>+X54</f>
        <v>688657</v>
      </c>
      <c r="AK54" s="182"/>
      <c r="AL54" s="182"/>
      <c r="AM54" s="36"/>
      <c r="AN54" s="36"/>
      <c r="AO54" s="36"/>
      <c r="AP54" s="36"/>
      <c r="AQ54" s="36"/>
    </row>
    <row r="55" spans="1:4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41" t="s">
        <v>365</v>
      </c>
      <c r="V55" s="41"/>
      <c r="W55" s="41"/>
      <c r="X55" s="283">
        <f>SUM(X49:X54)</f>
        <v>88299926.388671294</v>
      </c>
      <c r="Y55" s="41"/>
      <c r="Z55" s="283">
        <f>SUM(Z49:Z54)</f>
        <v>43761493</v>
      </c>
      <c r="AA55" s="283"/>
      <c r="AB55" s="283">
        <f>SUM(AB49:AB54)</f>
        <v>17375881</v>
      </c>
      <c r="AC55" s="283"/>
      <c r="AD55" s="283">
        <f>SUM(AD49:AD54)</f>
        <v>7376825</v>
      </c>
      <c r="AE55" s="283"/>
      <c r="AF55" s="283">
        <f>SUM(AF49:AF54)</f>
        <v>5473397</v>
      </c>
      <c r="AG55" s="283"/>
      <c r="AH55" s="283">
        <f>SUM(AH49:AH54)</f>
        <v>13623673.388671299</v>
      </c>
      <c r="AI55" s="283">
        <f>SUM(AI49:AI54)</f>
        <v>0</v>
      </c>
      <c r="AJ55" s="283">
        <f>SUM(AJ49:AJ54)</f>
        <v>688657</v>
      </c>
      <c r="AK55" s="182"/>
      <c r="AL55" s="182"/>
      <c r="AM55" s="36"/>
      <c r="AN55" s="36"/>
      <c r="AO55" s="36"/>
      <c r="AP55" s="36"/>
      <c r="AQ55" s="36"/>
    </row>
    <row r="56" spans="1:4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68"/>
      <c r="AI56" s="68"/>
      <c r="AJ56" s="195"/>
      <c r="AK56" s="182"/>
      <c r="AL56" s="182"/>
      <c r="AM56" s="36"/>
      <c r="AN56" s="36"/>
      <c r="AO56" s="36"/>
      <c r="AP56" s="36"/>
      <c r="AQ56" s="36"/>
    </row>
    <row r="57" spans="1:4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77" t="s">
        <v>255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68"/>
      <c r="AI57" s="68"/>
      <c r="AJ57" s="41"/>
      <c r="AK57" s="182"/>
      <c r="AL57" s="182"/>
      <c r="AM57" s="36"/>
      <c r="AN57" s="36"/>
      <c r="AO57" s="36"/>
      <c r="AP57" s="36"/>
      <c r="AQ57" s="36"/>
    </row>
    <row r="58" spans="1:4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41" t="s">
        <v>323</v>
      </c>
      <c r="V58" s="41"/>
      <c r="W58" s="41"/>
      <c r="X58" s="391">
        <f>+Alloc!W230</f>
        <v>61313986</v>
      </c>
      <c r="Y58" s="41"/>
      <c r="Z58" s="391">
        <f>X58</f>
        <v>61313986</v>
      </c>
      <c r="AA58" s="391"/>
      <c r="AB58" s="391"/>
      <c r="AC58" s="391"/>
      <c r="AD58" s="391"/>
      <c r="AE58" s="391"/>
      <c r="AF58" s="391"/>
      <c r="AG58" s="391"/>
      <c r="AH58" s="391"/>
      <c r="AI58" s="391"/>
      <c r="AJ58" s="391"/>
      <c r="AK58" s="182"/>
      <c r="AL58" s="182"/>
      <c r="AM58" s="36"/>
      <c r="AN58" s="36"/>
      <c r="AO58" s="36"/>
      <c r="AP58" s="36"/>
      <c r="AQ58" s="36"/>
    </row>
    <row r="59" spans="1:4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41" t="s">
        <v>331</v>
      </c>
      <c r="V59" s="41"/>
      <c r="W59" s="41"/>
      <c r="X59" s="283">
        <f>+Alloc!Y230</f>
        <v>9499596</v>
      </c>
      <c r="Y59" s="41"/>
      <c r="Z59" s="391"/>
      <c r="AA59" s="391"/>
      <c r="AB59" s="391">
        <f>X59</f>
        <v>9499596</v>
      </c>
      <c r="AC59" s="391"/>
      <c r="AD59" s="391"/>
      <c r="AE59" s="391"/>
      <c r="AF59" s="391"/>
      <c r="AG59" s="391"/>
      <c r="AH59" s="391"/>
      <c r="AI59" s="391"/>
      <c r="AJ59" s="391"/>
      <c r="AK59" s="182"/>
      <c r="AL59" s="182"/>
      <c r="AM59" s="36"/>
      <c r="AN59" s="36"/>
      <c r="AO59" s="36"/>
      <c r="AP59" s="36"/>
      <c r="AQ59" s="36"/>
    </row>
    <row r="60" spans="1:4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41" t="s">
        <v>332</v>
      </c>
      <c r="V60" s="41"/>
      <c r="W60" s="41"/>
      <c r="X60" s="283">
        <f>+Alloc!AA230</f>
        <v>2225429</v>
      </c>
      <c r="Y60" s="41"/>
      <c r="Z60" s="391"/>
      <c r="AA60" s="391"/>
      <c r="AB60" s="391"/>
      <c r="AC60" s="391"/>
      <c r="AD60" s="391">
        <f>X60</f>
        <v>2225429</v>
      </c>
      <c r="AE60" s="391"/>
      <c r="AF60" s="391"/>
      <c r="AG60" s="391"/>
      <c r="AH60" s="391"/>
      <c r="AI60" s="391"/>
      <c r="AJ60" s="392"/>
      <c r="AK60" s="182"/>
      <c r="AL60" s="182"/>
      <c r="AM60" s="36"/>
      <c r="AN60" s="36"/>
      <c r="AO60" s="36"/>
      <c r="AP60" s="36"/>
      <c r="AQ60" s="36"/>
    </row>
    <row r="61" spans="1:4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41" t="s">
        <v>333</v>
      </c>
      <c r="V61" s="41"/>
      <c r="W61" s="41"/>
      <c r="X61" s="283">
        <f>+Alloc!AC230</f>
        <v>2013271</v>
      </c>
      <c r="Y61" s="41"/>
      <c r="Z61" s="391"/>
      <c r="AA61" s="391"/>
      <c r="AB61" s="391"/>
      <c r="AC61" s="391"/>
      <c r="AD61" s="391"/>
      <c r="AE61" s="391"/>
      <c r="AF61" s="391">
        <f>+X61</f>
        <v>2013271</v>
      </c>
      <c r="AG61" s="391"/>
      <c r="AH61" s="391"/>
      <c r="AI61" s="391"/>
      <c r="AJ61" s="392"/>
      <c r="AK61" s="182"/>
      <c r="AL61" s="182"/>
      <c r="AM61" s="36"/>
      <c r="AN61" s="36"/>
      <c r="AO61" s="36"/>
      <c r="AP61" s="36"/>
      <c r="AQ61" s="36"/>
    </row>
    <row r="62" spans="1:4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41" t="s">
        <v>470</v>
      </c>
      <c r="V62" s="41"/>
      <c r="W62" s="41"/>
      <c r="X62" s="283">
        <f>+Alloc!AE230</f>
        <v>477960</v>
      </c>
      <c r="Y62" s="41"/>
      <c r="Z62" s="391"/>
      <c r="AA62" s="391"/>
      <c r="AB62" s="391"/>
      <c r="AC62" s="391"/>
      <c r="AD62" s="391"/>
      <c r="AE62" s="391"/>
      <c r="AF62" s="391"/>
      <c r="AG62" s="391"/>
      <c r="AH62" s="391">
        <f>X62</f>
        <v>477960</v>
      </c>
      <c r="AI62" s="391"/>
      <c r="AJ62" s="392"/>
      <c r="AK62" s="182"/>
      <c r="AL62" s="182"/>
      <c r="AM62" s="36"/>
      <c r="AN62" s="36"/>
      <c r="AO62" s="36"/>
      <c r="AP62" s="36"/>
      <c r="AQ62" s="36"/>
    </row>
    <row r="63" spans="1:4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41" t="s">
        <v>432</v>
      </c>
      <c r="X63" s="334">
        <f>+Alloc!AG230</f>
        <v>558782</v>
      </c>
      <c r="Z63" s="393"/>
      <c r="AA63" s="333"/>
      <c r="AB63" s="393"/>
      <c r="AC63" s="333"/>
      <c r="AD63" s="393"/>
      <c r="AE63" s="333"/>
      <c r="AF63" s="393"/>
      <c r="AG63" s="333"/>
      <c r="AH63" s="393"/>
      <c r="AI63" s="507"/>
      <c r="AJ63" s="393">
        <f>ROUND(X63,0)</f>
        <v>558782</v>
      </c>
      <c r="AK63" s="182"/>
      <c r="AL63" s="182"/>
      <c r="AM63" s="36"/>
      <c r="AN63" s="36"/>
      <c r="AO63" s="36"/>
      <c r="AP63" s="36"/>
      <c r="AQ63" s="36"/>
    </row>
    <row r="64" spans="1:4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41" t="s">
        <v>364</v>
      </c>
      <c r="V64" s="41"/>
      <c r="W64" s="41"/>
      <c r="X64" s="283">
        <f>SUM(X58:X63)</f>
        <v>76089024</v>
      </c>
      <c r="Y64" s="41"/>
      <c r="Z64" s="283">
        <f t="shared" ref="Z64:AJ64" si="3">SUM(Z58:Z63)</f>
        <v>61313986</v>
      </c>
      <c r="AA64" s="283"/>
      <c r="AB64" s="283">
        <f t="shared" si="3"/>
        <v>9499596</v>
      </c>
      <c r="AC64" s="283"/>
      <c r="AD64" s="283">
        <f t="shared" si="3"/>
        <v>2225429</v>
      </c>
      <c r="AE64" s="283"/>
      <c r="AF64" s="283">
        <f t="shared" si="3"/>
        <v>2013271</v>
      </c>
      <c r="AG64" s="283"/>
      <c r="AH64" s="283">
        <f t="shared" si="3"/>
        <v>477960</v>
      </c>
      <c r="AI64" s="283"/>
      <c r="AJ64" s="283">
        <f t="shared" si="3"/>
        <v>558782</v>
      </c>
      <c r="AK64" s="182"/>
      <c r="AL64" s="182"/>
      <c r="AM64" s="36"/>
      <c r="AN64" s="36"/>
      <c r="AO64" s="36"/>
      <c r="AP64" s="36"/>
      <c r="AQ64" s="36"/>
    </row>
    <row r="65" spans="1:4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68"/>
      <c r="AI65" s="68"/>
      <c r="AJ65" s="41"/>
      <c r="AK65" s="182"/>
      <c r="AL65" s="182"/>
      <c r="AM65" s="36"/>
      <c r="AN65" s="36"/>
      <c r="AO65" s="36"/>
      <c r="AP65" s="36"/>
      <c r="AQ65" s="36"/>
    </row>
    <row r="66" spans="1:4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41"/>
      <c r="V66" s="41"/>
      <c r="W66" s="41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257"/>
      <c r="AI66" s="257"/>
      <c r="AJ66" s="195"/>
      <c r="AK66" s="182"/>
      <c r="AL66" s="182"/>
      <c r="AM66" s="36"/>
      <c r="AN66" s="36"/>
      <c r="AO66" s="36"/>
      <c r="AP66" s="36"/>
      <c r="AQ66" s="36"/>
    </row>
    <row r="67" spans="1:43" ht="15.75" thickBo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41" t="s">
        <v>459</v>
      </c>
      <c r="V67" s="41"/>
      <c r="W67" s="41"/>
      <c r="X67" s="484">
        <f>+X65+X64+X55</f>
        <v>164388950.38867128</v>
      </c>
      <c r="Y67" s="391"/>
      <c r="Z67" s="484">
        <f>+Z65+Z64+Z55</f>
        <v>105075479</v>
      </c>
      <c r="AA67" s="391"/>
      <c r="AB67" s="484">
        <f>+AB65+AB64+AB55</f>
        <v>26875477</v>
      </c>
      <c r="AC67" s="391"/>
      <c r="AD67" s="484">
        <f>+AD65+AD64+AD55</f>
        <v>9602254</v>
      </c>
      <c r="AE67" s="391"/>
      <c r="AF67" s="484">
        <f>+AF65+AF64+AF55</f>
        <v>7486668</v>
      </c>
      <c r="AG67" s="391"/>
      <c r="AH67" s="484">
        <f>+AH65+AH64+AH55</f>
        <v>14101633.388671299</v>
      </c>
      <c r="AI67" s="257"/>
      <c r="AJ67" s="484">
        <f>+AJ65+AJ64+AJ55</f>
        <v>1247439</v>
      </c>
      <c r="AK67" s="182"/>
      <c r="AL67" s="182"/>
      <c r="AM67" s="36"/>
      <c r="AN67" s="36"/>
      <c r="AO67" s="36"/>
      <c r="AP67" s="36"/>
      <c r="AQ67" s="36"/>
    </row>
    <row r="68" spans="1:43" ht="15.75" thickTop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182"/>
      <c r="AL68" s="182"/>
      <c r="AM68" s="36"/>
      <c r="AN68" s="36"/>
      <c r="AO68" s="36"/>
      <c r="AP68" s="36"/>
      <c r="AQ68" s="36"/>
    </row>
    <row r="69" spans="1:4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182"/>
      <c r="AL69" s="182"/>
      <c r="AM69" s="36"/>
      <c r="AN69" s="36"/>
      <c r="AO69" s="36"/>
      <c r="AP69" s="36"/>
      <c r="AQ69" s="36"/>
    </row>
    <row r="70" spans="1:4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41" t="s">
        <v>13</v>
      </c>
      <c r="V70" s="41"/>
      <c r="W70" s="41"/>
      <c r="X70" s="41">
        <f>+SUM(Z70:AH70)</f>
        <v>0</v>
      </c>
      <c r="Y70" s="41"/>
      <c r="Z70" s="41"/>
      <c r="AA70" s="41"/>
      <c r="AB70" s="41"/>
      <c r="AC70" s="41"/>
      <c r="AD70" s="41"/>
      <c r="AE70" s="41"/>
      <c r="AF70" s="41"/>
      <c r="AG70" s="41"/>
      <c r="AH70" s="41">
        <v>0</v>
      </c>
      <c r="AI70" s="41">
        <v>0</v>
      </c>
      <c r="AJ70" s="41">
        <v>0</v>
      </c>
      <c r="AK70" s="182"/>
      <c r="AL70" s="182"/>
      <c r="AM70" s="36"/>
      <c r="AN70" s="36"/>
      <c r="AO70" s="36"/>
      <c r="AP70" s="36"/>
      <c r="AQ70" s="36"/>
    </row>
    <row r="71" spans="1:4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41"/>
      <c r="V71" s="41"/>
      <c r="W71" s="41"/>
      <c r="X71" s="64"/>
      <c r="Y71" s="41"/>
      <c r="Z71" s="64"/>
      <c r="AA71" s="41"/>
      <c r="AB71" s="64"/>
      <c r="AC71" s="41"/>
      <c r="AD71" s="64"/>
      <c r="AE71" s="64"/>
      <c r="AF71" s="64"/>
      <c r="AG71" s="41"/>
      <c r="AH71" s="78"/>
      <c r="AI71" s="257"/>
      <c r="AJ71" s="64"/>
      <c r="AK71" s="182"/>
      <c r="AL71" s="182"/>
      <c r="AM71" s="36"/>
      <c r="AN71" s="36"/>
      <c r="AO71" s="36"/>
      <c r="AP71" s="36"/>
      <c r="AQ71" s="36"/>
    </row>
    <row r="72" spans="1:4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68"/>
      <c r="AI72" s="68"/>
      <c r="AJ72" s="41"/>
      <c r="AK72" s="182"/>
      <c r="AL72" s="182"/>
      <c r="AM72" s="36"/>
      <c r="AN72" s="36"/>
      <c r="AO72" s="36"/>
      <c r="AP72" s="36"/>
      <c r="AQ72" s="36"/>
    </row>
    <row r="73" spans="1:43" ht="15.75" thickBo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41" t="s">
        <v>14</v>
      </c>
      <c r="V73" s="41"/>
      <c r="W73" s="41"/>
      <c r="X73" s="394">
        <f>SUM(X67:X70)</f>
        <v>164388950.38867128</v>
      </c>
      <c r="Y73" s="391"/>
      <c r="Z73" s="394">
        <f>SUM(Z67:Z70)</f>
        <v>105075479</v>
      </c>
      <c r="AA73" s="391"/>
      <c r="AB73" s="394">
        <f>SUM(AB67:AB70)</f>
        <v>26875477</v>
      </c>
      <c r="AC73" s="391"/>
      <c r="AD73" s="394">
        <f>SUM(AD67:AD70)</f>
        <v>9602254</v>
      </c>
      <c r="AE73" s="391"/>
      <c r="AF73" s="394">
        <f>SUM(AF67:AF70)</f>
        <v>7486668</v>
      </c>
      <c r="AG73" s="391"/>
      <c r="AH73" s="394">
        <f>SUM(AH67:AH70)</f>
        <v>14101633.388671299</v>
      </c>
      <c r="AI73" s="391">
        <f t="shared" ref="AI73" si="4">SUM(AI67:AI70)</f>
        <v>0</v>
      </c>
      <c r="AJ73" s="394">
        <f>SUM(AJ67:AJ70)</f>
        <v>1247439</v>
      </c>
      <c r="AK73" s="182"/>
      <c r="AL73" s="182"/>
      <c r="AM73" s="36"/>
      <c r="AN73" s="36"/>
      <c r="AO73" s="36"/>
      <c r="AP73" s="36"/>
      <c r="AQ73" s="36"/>
    </row>
    <row r="74" spans="1:43" ht="15.75" thickTop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28"/>
      <c r="Y74" s="12"/>
      <c r="Z74" s="28"/>
      <c r="AA74" s="12"/>
      <c r="AB74" s="28"/>
      <c r="AC74" s="12"/>
      <c r="AD74" s="28"/>
      <c r="AE74" s="28"/>
      <c r="AF74" s="28"/>
      <c r="AG74" s="12"/>
      <c r="AH74" s="28"/>
      <c r="AI74" s="12"/>
      <c r="AJ74" s="28"/>
      <c r="AK74" s="182"/>
      <c r="AL74" s="182"/>
      <c r="AM74" s="36"/>
      <c r="AN74" s="36"/>
      <c r="AO74" s="36"/>
      <c r="AP74" s="36"/>
      <c r="AQ74" s="36"/>
    </row>
    <row r="75" spans="1:4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82"/>
      <c r="AL75" s="182"/>
      <c r="AM75" s="36"/>
      <c r="AN75" s="36"/>
      <c r="AO75" s="36"/>
      <c r="AP75" s="36"/>
      <c r="AQ75" s="36"/>
    </row>
    <row r="76" spans="1:4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41" t="s">
        <v>15</v>
      </c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182"/>
      <c r="AL76" s="182"/>
      <c r="AM76" s="36"/>
      <c r="AN76" s="36"/>
      <c r="AO76" s="36"/>
      <c r="AP76" s="36"/>
      <c r="AQ76" s="36"/>
    </row>
    <row r="77" spans="1:4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82"/>
      <c r="AL77" s="182"/>
      <c r="AM77" s="36"/>
      <c r="AN77" s="36"/>
      <c r="AO77" s="36"/>
      <c r="AP77" s="36"/>
      <c r="AQ77" s="36"/>
    </row>
    <row r="78" spans="1:4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82"/>
      <c r="AL78" s="182"/>
      <c r="AM78" s="36"/>
      <c r="AN78" s="36"/>
      <c r="AO78" s="36"/>
      <c r="AP78" s="36"/>
      <c r="AQ78" s="36"/>
    </row>
    <row r="79" spans="1:4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295"/>
      <c r="V79" s="267"/>
      <c r="W79" s="267"/>
      <c r="X79" s="267"/>
      <c r="Y79" s="267"/>
      <c r="Z79" s="267"/>
      <c r="AA79" s="267"/>
      <c r="AB79" s="267"/>
      <c r="AC79" s="267"/>
      <c r="AD79" s="267"/>
      <c r="AE79" s="267"/>
      <c r="AF79" s="267"/>
      <c r="AG79" s="267"/>
      <c r="AH79" s="267"/>
      <c r="AI79" s="267"/>
      <c r="AJ79" s="267"/>
      <c r="AK79" s="182"/>
      <c r="AL79" s="182"/>
      <c r="AM79" s="36"/>
      <c r="AN79" s="36"/>
      <c r="AO79" s="36"/>
      <c r="AP79" s="36"/>
      <c r="AQ79" s="36"/>
    </row>
    <row r="80" spans="1:4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295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182"/>
      <c r="AL80" s="182"/>
      <c r="AM80" s="36"/>
      <c r="AN80" s="36"/>
      <c r="AO80" s="36"/>
      <c r="AP80" s="36"/>
      <c r="AQ80" s="36"/>
    </row>
    <row r="81" spans="1:4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  <c r="AE81" s="269"/>
      <c r="AF81" s="269"/>
      <c r="AG81" s="269"/>
      <c r="AH81" s="270"/>
      <c r="AI81" s="270"/>
      <c r="AJ81" s="269"/>
      <c r="AK81" s="182"/>
      <c r="AL81" s="182"/>
      <c r="AM81" s="36"/>
      <c r="AN81" s="36"/>
      <c r="AO81" s="36"/>
      <c r="AP81" s="36"/>
      <c r="AQ81" s="36"/>
    </row>
    <row r="82" spans="1:43">
      <c r="A82" s="671" t="s">
        <v>635</v>
      </c>
      <c r="B82" s="671"/>
      <c r="C82" s="671"/>
      <c r="D82" s="671"/>
      <c r="E82" s="671"/>
      <c r="F82" s="671"/>
      <c r="G82" s="671"/>
      <c r="H82" s="671"/>
      <c r="I82" s="671"/>
      <c r="J82" s="671"/>
      <c r="K82" s="671"/>
      <c r="L82" s="671"/>
      <c r="M82" s="671"/>
      <c r="N82" s="671"/>
      <c r="O82" s="671"/>
      <c r="P82" s="671"/>
      <c r="Q82" s="671"/>
      <c r="R82" s="671"/>
      <c r="S82" s="12"/>
      <c r="T82" s="12"/>
      <c r="U82" s="269"/>
      <c r="V82" s="269"/>
      <c r="W82" s="269"/>
      <c r="X82" s="264"/>
      <c r="Y82" s="269"/>
      <c r="Z82" s="269"/>
      <c r="AA82" s="269"/>
      <c r="AB82" s="269"/>
      <c r="AC82" s="269"/>
      <c r="AD82" s="269"/>
      <c r="AE82" s="269"/>
      <c r="AF82" s="269"/>
      <c r="AG82" s="269"/>
      <c r="AH82" s="270"/>
      <c r="AI82" s="270"/>
      <c r="AJ82" s="269"/>
      <c r="AK82" s="182"/>
      <c r="AL82" s="182"/>
      <c r="AM82" s="36"/>
      <c r="AN82" s="36"/>
      <c r="AO82" s="36"/>
      <c r="AP82" s="36"/>
      <c r="AQ82" s="36"/>
    </row>
    <row r="83" spans="1:43" ht="15.75">
      <c r="A83" s="674"/>
      <c r="B83" s="671"/>
      <c r="C83" s="671"/>
      <c r="D83" s="671"/>
      <c r="E83" s="671"/>
      <c r="F83" s="671"/>
      <c r="G83" s="671"/>
      <c r="H83" s="671"/>
      <c r="I83" s="671"/>
      <c r="J83" s="671"/>
      <c r="K83" s="671"/>
      <c r="L83" s="671"/>
      <c r="M83" s="671"/>
      <c r="N83" s="671"/>
      <c r="O83" s="675"/>
      <c r="P83" s="671"/>
      <c r="Q83" s="671"/>
      <c r="R83" s="671"/>
      <c r="S83" s="12"/>
      <c r="T83" s="12"/>
      <c r="U83" s="264"/>
      <c r="V83" s="264"/>
      <c r="W83" s="264"/>
      <c r="X83" s="271"/>
      <c r="Y83" s="264"/>
      <c r="Z83" s="271"/>
      <c r="AA83" s="264"/>
      <c r="AB83" s="271"/>
      <c r="AC83" s="264"/>
      <c r="AD83" s="271"/>
      <c r="AE83" s="271"/>
      <c r="AF83" s="271"/>
      <c r="AG83" s="264"/>
      <c r="AH83" s="271"/>
      <c r="AI83" s="271"/>
      <c r="AJ83" s="271"/>
      <c r="AK83" s="182"/>
      <c r="AL83" s="182"/>
      <c r="AM83" s="36"/>
      <c r="AN83" s="36"/>
      <c r="AO83" s="36"/>
      <c r="AP83" s="36"/>
      <c r="AQ83" s="36"/>
    </row>
    <row r="84" spans="1:43">
      <c r="A84" s="671" t="s">
        <v>130</v>
      </c>
      <c r="B84" s="671"/>
      <c r="C84" s="671"/>
      <c r="D84" s="671"/>
      <c r="E84" s="671"/>
      <c r="F84" s="671"/>
      <c r="G84" s="671"/>
      <c r="H84" s="671"/>
      <c r="I84" s="671"/>
      <c r="J84" s="671"/>
      <c r="K84" s="671"/>
      <c r="L84" s="671"/>
      <c r="M84" s="671"/>
      <c r="N84" s="671"/>
      <c r="O84" s="671"/>
      <c r="P84" s="671"/>
      <c r="Q84" s="671"/>
      <c r="R84" s="671"/>
      <c r="S84" s="12"/>
      <c r="T84" s="12"/>
      <c r="U84" s="195"/>
      <c r="V84" s="195"/>
      <c r="W84" s="195"/>
      <c r="X84" s="246"/>
      <c r="Y84" s="195"/>
      <c r="Z84" s="246"/>
      <c r="AA84" s="195"/>
      <c r="AB84" s="246"/>
      <c r="AC84" s="195"/>
      <c r="AD84" s="246"/>
      <c r="AE84" s="246"/>
      <c r="AF84" s="246"/>
      <c r="AG84" s="195"/>
      <c r="AH84" s="246"/>
      <c r="AI84" s="246"/>
      <c r="AJ84" s="246"/>
      <c r="AK84" s="182"/>
      <c r="AL84" s="182"/>
      <c r="AM84" s="36"/>
      <c r="AN84" s="36"/>
      <c r="AO84" s="36"/>
      <c r="AP84" s="36"/>
      <c r="AQ84" s="36"/>
    </row>
    <row r="85" spans="1:43">
      <c r="A85" s="671" t="s">
        <v>679</v>
      </c>
      <c r="B85" s="671"/>
      <c r="C85" s="671"/>
      <c r="D85" s="671"/>
      <c r="E85" s="671"/>
      <c r="F85" s="671"/>
      <c r="G85" s="671"/>
      <c r="H85" s="671"/>
      <c r="I85" s="671"/>
      <c r="J85" s="671"/>
      <c r="K85" s="671"/>
      <c r="L85" s="671"/>
      <c r="M85" s="671"/>
      <c r="N85" s="671"/>
      <c r="O85" s="671"/>
      <c r="P85" s="671"/>
      <c r="Q85" s="671"/>
      <c r="R85" s="671"/>
      <c r="S85" s="12"/>
      <c r="T85" s="12"/>
      <c r="U85" s="182"/>
      <c r="V85" s="250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182"/>
      <c r="AL85" s="182"/>
      <c r="AM85" s="36"/>
      <c r="AN85" s="36"/>
      <c r="AO85" s="36"/>
      <c r="AP85" s="36"/>
      <c r="AQ85" s="36"/>
    </row>
    <row r="86" spans="1:43" ht="15.75">
      <c r="A86" s="759" t="s">
        <v>464</v>
      </c>
      <c r="B86" s="760"/>
      <c r="C86" s="760"/>
      <c r="D86" s="760"/>
      <c r="E86" s="760"/>
      <c r="F86" s="760"/>
      <c r="G86" s="760"/>
      <c r="H86" s="760"/>
      <c r="I86" s="760"/>
      <c r="J86" s="760"/>
      <c r="K86" s="760"/>
      <c r="L86" s="760"/>
      <c r="M86" s="760"/>
      <c r="N86" s="760"/>
      <c r="O86" s="760"/>
      <c r="P86" s="760"/>
      <c r="Q86" s="760"/>
      <c r="R86" s="760"/>
      <c r="S86" s="12"/>
      <c r="T86" s="12"/>
      <c r="U86" s="182"/>
      <c r="V86" s="250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182"/>
      <c r="AL86" s="182"/>
      <c r="AM86" s="36"/>
      <c r="AN86" s="36"/>
      <c r="AO86" s="36"/>
      <c r="AP86" s="36"/>
      <c r="AQ86" s="36"/>
    </row>
    <row r="87" spans="1:43" ht="15.75">
      <c r="A87" s="277"/>
      <c r="B87" s="277"/>
      <c r="C87" s="277"/>
      <c r="D87" s="761"/>
      <c r="E87" s="277"/>
      <c r="F87" s="277"/>
      <c r="G87" s="277"/>
      <c r="H87" s="277"/>
      <c r="I87" s="277"/>
      <c r="J87" s="277"/>
      <c r="K87" s="277"/>
      <c r="L87" s="277"/>
      <c r="M87" s="277"/>
      <c r="N87" s="277"/>
      <c r="O87" s="277"/>
      <c r="P87" s="277"/>
      <c r="Q87" s="277"/>
      <c r="R87" s="277"/>
      <c r="S87" s="12"/>
      <c r="T87" s="12"/>
      <c r="U87" s="182"/>
      <c r="V87" s="250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182"/>
      <c r="AL87" s="182"/>
      <c r="AM87" s="36"/>
      <c r="AN87" s="36"/>
      <c r="AO87" s="36"/>
      <c r="AP87" s="36"/>
      <c r="AQ87" s="36"/>
    </row>
    <row r="88" spans="1:43" ht="15.75">
      <c r="A88" s="277"/>
      <c r="B88" s="277"/>
      <c r="C88" s="277"/>
      <c r="D88" s="762" t="s">
        <v>587</v>
      </c>
      <c r="E88" s="762"/>
      <c r="F88" s="762"/>
      <c r="G88" s="277"/>
      <c r="H88" s="671" t="s">
        <v>434</v>
      </c>
      <c r="I88" s="671"/>
      <c r="J88" s="671"/>
      <c r="K88" s="671"/>
      <c r="L88" s="671"/>
      <c r="M88" s="671"/>
      <c r="N88" s="671"/>
      <c r="O88" s="277"/>
      <c r="P88" s="671" t="s">
        <v>583</v>
      </c>
      <c r="Q88" s="671"/>
      <c r="R88" s="671"/>
      <c r="S88" s="12"/>
      <c r="T88" s="12"/>
      <c r="U88" s="182"/>
      <c r="V88" s="250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182"/>
      <c r="AL88" s="182"/>
      <c r="AM88" s="36"/>
      <c r="AN88" s="36"/>
      <c r="AO88" s="36"/>
      <c r="AP88" s="36"/>
      <c r="AQ88" s="36"/>
    </row>
    <row r="89" spans="1:43" ht="15.75">
      <c r="A89" s="671" t="s">
        <v>171</v>
      </c>
      <c r="B89" s="671"/>
      <c r="C89" s="277"/>
      <c r="D89" s="762" t="s">
        <v>588</v>
      </c>
      <c r="E89" s="762"/>
      <c r="F89" s="762"/>
      <c r="G89" s="277"/>
      <c r="H89" s="680" t="s">
        <v>4</v>
      </c>
      <c r="I89" s="680"/>
      <c r="J89" s="680"/>
      <c r="K89" s="763"/>
      <c r="L89" s="764" t="s">
        <v>582</v>
      </c>
      <c r="M89" s="680"/>
      <c r="N89" s="680"/>
      <c r="O89" s="277"/>
      <c r="P89" s="763"/>
      <c r="Q89" s="763"/>
      <c r="R89" s="681" t="s">
        <v>1</v>
      </c>
      <c r="S89" s="12"/>
      <c r="T89" s="12"/>
      <c r="U89" s="250"/>
      <c r="V89" s="250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182"/>
      <c r="AL89" s="182"/>
      <c r="AM89" s="36"/>
      <c r="AN89" s="36"/>
      <c r="AO89" s="36"/>
      <c r="AP89" s="36"/>
      <c r="AQ89" s="36"/>
    </row>
    <row r="90" spans="1:43">
      <c r="A90" s="765" t="s">
        <v>172</v>
      </c>
      <c r="B90" s="765"/>
      <c r="C90" s="277"/>
      <c r="D90" s="681" t="s">
        <v>5</v>
      </c>
      <c r="E90" s="763"/>
      <c r="F90" s="681" t="s">
        <v>1</v>
      </c>
      <c r="G90" s="277"/>
      <c r="H90" s="680" t="s">
        <v>5</v>
      </c>
      <c r="I90" s="680"/>
      <c r="J90" s="680" t="s">
        <v>1</v>
      </c>
      <c r="K90" s="277"/>
      <c r="L90" s="681" t="s">
        <v>5</v>
      </c>
      <c r="M90" s="763"/>
      <c r="N90" s="681" t="s">
        <v>1</v>
      </c>
      <c r="O90" s="277"/>
      <c r="P90" s="678" t="s">
        <v>5</v>
      </c>
      <c r="Q90" s="277"/>
      <c r="R90" s="678" t="s">
        <v>0</v>
      </c>
      <c r="S90" s="12"/>
      <c r="T90" s="12"/>
      <c r="U90" s="195"/>
      <c r="V90" s="195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182"/>
      <c r="AL90" s="182"/>
      <c r="AM90" s="36"/>
      <c r="AN90" s="36"/>
      <c r="AO90" s="36"/>
      <c r="AP90" s="36"/>
      <c r="AQ90" s="36"/>
    </row>
    <row r="91" spans="1:43">
      <c r="A91" s="671" t="s">
        <v>173</v>
      </c>
      <c r="B91" s="671"/>
      <c r="C91" s="277"/>
      <c r="D91" s="682">
        <v>-2</v>
      </c>
      <c r="E91" s="277"/>
      <c r="F91" s="682">
        <v>-3</v>
      </c>
      <c r="G91" s="277"/>
      <c r="H91" s="682">
        <v>-4</v>
      </c>
      <c r="I91" s="277"/>
      <c r="J91" s="682">
        <v>-5</v>
      </c>
      <c r="K91" s="277"/>
      <c r="L91" s="682">
        <v>-6</v>
      </c>
      <c r="M91" s="277"/>
      <c r="N91" s="682">
        <v>-7</v>
      </c>
      <c r="O91" s="277"/>
      <c r="P91" s="682">
        <v>-8</v>
      </c>
      <c r="Q91" s="277"/>
      <c r="R91" s="682">
        <v>-9</v>
      </c>
      <c r="S91" s="12"/>
      <c r="T91" s="12"/>
      <c r="U91" s="195"/>
      <c r="V91" s="195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182"/>
      <c r="AL91" s="182"/>
      <c r="AM91" s="36"/>
      <c r="AN91" s="36"/>
      <c r="AO91" s="36"/>
      <c r="AP91" s="36"/>
      <c r="AQ91" s="36"/>
    </row>
    <row r="92" spans="1:43">
      <c r="A92" s="766"/>
      <c r="B92" s="277"/>
      <c r="C92" s="277"/>
      <c r="D92" s="277"/>
      <c r="E92" s="277"/>
      <c r="F92" s="767"/>
      <c r="G92" s="277"/>
      <c r="H92" s="277"/>
      <c r="I92" s="277"/>
      <c r="J92" s="277"/>
      <c r="K92" s="277"/>
      <c r="L92" s="277"/>
      <c r="M92" s="277"/>
      <c r="N92" s="767"/>
      <c r="O92" s="277"/>
      <c r="P92" s="277"/>
      <c r="Q92" s="277"/>
      <c r="R92" s="277"/>
      <c r="S92" s="12"/>
      <c r="T92" s="12"/>
      <c r="U92" s="195"/>
      <c r="V92" s="195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182"/>
      <c r="AL92" s="182"/>
      <c r="AM92" s="36"/>
      <c r="AN92" s="36"/>
      <c r="AO92" s="36"/>
      <c r="AP92" s="36"/>
      <c r="AQ92" s="36"/>
    </row>
    <row r="93" spans="1:43">
      <c r="A93" s="277" t="s">
        <v>322</v>
      </c>
      <c r="B93" s="277"/>
      <c r="C93" s="277"/>
      <c r="D93" s="768">
        <f>(+D16+[2]Sched.A!$D16)/2</f>
        <v>105236800</v>
      </c>
      <c r="E93" s="277"/>
      <c r="F93" s="769">
        <f>ROUND(+D93/D$28,3)-0.001</f>
        <v>0.63900000000000001</v>
      </c>
      <c r="G93" s="277"/>
      <c r="H93" s="768">
        <f>+H16</f>
        <v>88666470.080156267</v>
      </c>
      <c r="I93" s="277"/>
      <c r="J93" s="770">
        <f>+ROUND(H93/$H$28,3)</f>
        <v>0.621</v>
      </c>
      <c r="K93" s="277"/>
      <c r="L93" s="768">
        <f>+L16</f>
        <v>103680686.67270669</v>
      </c>
      <c r="M93" s="277"/>
      <c r="N93" s="769">
        <f>+ROUND(L93/$L$28,3)-0.002</f>
        <v>0.629</v>
      </c>
      <c r="O93" s="277"/>
      <c r="P93" s="768">
        <f>+L93-H93</f>
        <v>15014216.592550427</v>
      </c>
      <c r="Q93" s="277"/>
      <c r="R93" s="770">
        <f>+P93/H93</f>
        <v>0.16933364527737796</v>
      </c>
      <c r="S93" s="12"/>
      <c r="T93" s="12"/>
      <c r="U93" s="195"/>
      <c r="V93" s="195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182"/>
      <c r="AL93" s="182"/>
      <c r="AM93" s="36"/>
      <c r="AN93" s="36"/>
      <c r="AO93" s="36"/>
      <c r="AP93" s="36"/>
      <c r="AQ93" s="36"/>
    </row>
    <row r="94" spans="1:43">
      <c r="A94" s="277"/>
      <c r="B94" s="277"/>
      <c r="C94" s="277"/>
      <c r="D94" s="768"/>
      <c r="E94" s="277"/>
      <c r="F94" s="767"/>
      <c r="G94" s="277"/>
      <c r="H94" s="768"/>
      <c r="I94" s="277"/>
      <c r="J94" s="277"/>
      <c r="K94" s="277"/>
      <c r="L94" s="768"/>
      <c r="M94" s="277"/>
      <c r="N94" s="767"/>
      <c r="O94" s="277"/>
      <c r="P94" s="277"/>
      <c r="Q94" s="277"/>
      <c r="R94" s="277"/>
      <c r="S94" s="12"/>
      <c r="T94" s="12"/>
      <c r="U94" s="195"/>
      <c r="V94" s="195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182"/>
      <c r="AL94" s="182"/>
      <c r="AM94" s="36"/>
      <c r="AN94" s="36"/>
      <c r="AO94" s="36"/>
      <c r="AP94" s="36"/>
      <c r="AQ94" s="36"/>
    </row>
    <row r="95" spans="1:43">
      <c r="A95" s="277" t="s">
        <v>318</v>
      </c>
      <c r="B95" s="277"/>
      <c r="C95" s="277"/>
      <c r="D95" s="574">
        <f>(+D18+[2]Sched.A!$D18)/2</f>
        <v>26944859.5</v>
      </c>
      <c r="E95" s="277"/>
      <c r="F95" s="769">
        <f>ROUND(+D95/D$28,3)</f>
        <v>0.16400000000000001</v>
      </c>
      <c r="G95" s="277"/>
      <c r="H95" s="574">
        <f t="shared" ref="H95:H103" si="5">+H18</f>
        <v>21457704.436823994</v>
      </c>
      <c r="I95" s="277"/>
      <c r="J95" s="770">
        <f>+ROUND(H95/$H$28,3)</f>
        <v>0.15</v>
      </c>
      <c r="K95" s="277"/>
      <c r="L95" s="574">
        <f t="shared" ref="L95:L101" si="6">+L18</f>
        <v>26222989</v>
      </c>
      <c r="M95" s="277"/>
      <c r="N95" s="769">
        <f>+ROUND(L95/$L$28,3)</f>
        <v>0.16</v>
      </c>
      <c r="O95" s="277"/>
      <c r="P95" s="574">
        <f>+L95-H95</f>
        <v>4765284.5631760061</v>
      </c>
      <c r="Q95" s="277"/>
      <c r="R95" s="770">
        <f>+P95/H95</f>
        <v>0.2220780222416619</v>
      </c>
      <c r="S95" s="12"/>
      <c r="T95" s="12"/>
      <c r="U95" s="182"/>
      <c r="V95" s="195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182"/>
      <c r="AL95" s="182"/>
      <c r="AM95" s="36"/>
      <c r="AN95" s="36"/>
      <c r="AO95" s="36"/>
      <c r="AP95" s="36"/>
      <c r="AQ95" s="36"/>
    </row>
    <row r="96" spans="1:43">
      <c r="A96" s="277"/>
      <c r="B96" s="277"/>
      <c r="C96" s="277"/>
      <c r="D96" s="574"/>
      <c r="E96" s="277"/>
      <c r="F96" s="767"/>
      <c r="G96" s="277"/>
      <c r="H96" s="574"/>
      <c r="I96" s="277"/>
      <c r="J96" s="277"/>
      <c r="K96" s="277"/>
      <c r="L96" s="574"/>
      <c r="M96" s="277"/>
      <c r="N96" s="767"/>
      <c r="O96" s="277"/>
      <c r="P96" s="277"/>
      <c r="Q96" s="277"/>
      <c r="R96" s="277"/>
      <c r="S96" s="12"/>
      <c r="T96" s="12"/>
      <c r="U96" s="12"/>
      <c r="V96" s="41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12"/>
      <c r="AL96" s="12"/>
      <c r="AM96" s="36"/>
      <c r="AN96" s="36"/>
      <c r="AO96" s="36"/>
      <c r="AP96" s="36"/>
    </row>
    <row r="97" spans="1:38">
      <c r="A97" s="277" t="s">
        <v>319</v>
      </c>
      <c r="B97" s="277"/>
      <c r="C97" s="277"/>
      <c r="D97" s="574">
        <f>(+D20+[2]Sched.A!$D20)/2</f>
        <v>9644570.5</v>
      </c>
      <c r="E97" s="277"/>
      <c r="F97" s="769">
        <f>ROUND(+D97/D$28,3)</f>
        <v>5.8999999999999997E-2</v>
      </c>
      <c r="G97" s="277"/>
      <c r="H97" s="574">
        <f t="shared" si="5"/>
        <v>7840831.6703520007</v>
      </c>
      <c r="I97" s="277"/>
      <c r="J97" s="770">
        <f>+ROUND(H97/$H$28,3)</f>
        <v>5.5E-2</v>
      </c>
      <c r="K97" s="277"/>
      <c r="L97" s="574">
        <f t="shared" si="6"/>
        <v>9464319.0010000002</v>
      </c>
      <c r="M97" s="277"/>
      <c r="N97" s="769">
        <f>+ROUND(L97/$L$28,3)</f>
        <v>5.8000000000000003E-2</v>
      </c>
      <c r="O97" s="277"/>
      <c r="P97" s="574">
        <f>+L97-H97</f>
        <v>1623487.3306479994</v>
      </c>
      <c r="Q97" s="277"/>
      <c r="R97" s="770">
        <f>+P97/H97</f>
        <v>0.20705550111307461</v>
      </c>
      <c r="S97" s="12"/>
      <c r="T97" s="12"/>
      <c r="U97" s="12"/>
      <c r="V97" s="41"/>
      <c r="AK97" s="12"/>
      <c r="AL97" s="12"/>
    </row>
    <row r="98" spans="1:38">
      <c r="A98" s="277"/>
      <c r="B98" s="277"/>
      <c r="C98" s="277"/>
      <c r="D98" s="574"/>
      <c r="E98" s="277"/>
      <c r="F98" s="767"/>
      <c r="G98" s="277"/>
      <c r="H98" s="574"/>
      <c r="I98" s="277"/>
      <c r="J98" s="277"/>
      <c r="K98" s="277"/>
      <c r="L98" s="574"/>
      <c r="M98" s="277"/>
      <c r="N98" s="767"/>
      <c r="O98" s="277"/>
      <c r="P98" s="277"/>
      <c r="Q98" s="277"/>
      <c r="R98" s="277"/>
      <c r="S98" s="12"/>
      <c r="T98" s="12"/>
      <c r="U98" s="12"/>
      <c r="V98" s="41"/>
      <c r="AK98" s="12"/>
      <c r="AL98" s="12"/>
    </row>
    <row r="99" spans="1:38">
      <c r="A99" s="277" t="s">
        <v>320</v>
      </c>
      <c r="B99" s="277"/>
      <c r="C99" s="277"/>
      <c r="D99" s="574">
        <f>(+D22+[2]Sched.A!$D22)/2</f>
        <v>7549543</v>
      </c>
      <c r="E99" s="277"/>
      <c r="F99" s="769">
        <f>ROUND(+D99/D$28,3)</f>
        <v>4.5999999999999999E-2</v>
      </c>
      <c r="G99" s="277"/>
      <c r="H99" s="574">
        <f t="shared" si="5"/>
        <v>7132565.6727839997</v>
      </c>
      <c r="I99" s="277"/>
      <c r="J99" s="770">
        <f>+ROUND(H99/$H$28,3)</f>
        <v>0.05</v>
      </c>
      <c r="K99" s="277"/>
      <c r="L99" s="574">
        <f t="shared" si="6"/>
        <v>7553329.7804598045</v>
      </c>
      <c r="M99" s="277"/>
      <c r="N99" s="769">
        <f>+ROUND(L99/$L$28,3)</f>
        <v>4.5999999999999999E-2</v>
      </c>
      <c r="O99" s="277"/>
      <c r="P99" s="574">
        <f>+L99-H99</f>
        <v>420764.10767580476</v>
      </c>
      <c r="Q99" s="277"/>
      <c r="R99" s="770">
        <f>+P99/H99</f>
        <v>5.8991971049257949E-2</v>
      </c>
      <c r="S99" s="12"/>
      <c r="T99" s="12"/>
      <c r="U99" s="12"/>
      <c r="V99" s="41"/>
      <c r="AK99" s="12"/>
      <c r="AL99" s="12"/>
    </row>
    <row r="100" spans="1:38">
      <c r="A100" s="277"/>
      <c r="B100" s="277"/>
      <c r="C100" s="277"/>
      <c r="D100" s="574"/>
      <c r="E100" s="277"/>
      <c r="F100" s="767"/>
      <c r="G100" s="277"/>
      <c r="H100" s="574"/>
      <c r="I100" s="277"/>
      <c r="J100" s="277"/>
      <c r="K100" s="277"/>
      <c r="L100" s="574"/>
      <c r="M100" s="277"/>
      <c r="N100" s="767"/>
      <c r="O100" s="277"/>
      <c r="P100" s="277"/>
      <c r="Q100" s="277"/>
      <c r="R100" s="277"/>
      <c r="S100" s="12"/>
      <c r="T100" s="12"/>
      <c r="U100" s="41"/>
      <c r="V100" s="41"/>
      <c r="AK100" s="12"/>
      <c r="AL100" s="12"/>
    </row>
    <row r="101" spans="1:38">
      <c r="A101" s="277" t="s">
        <v>468</v>
      </c>
      <c r="B101" s="277"/>
      <c r="C101" s="277"/>
      <c r="D101" s="574">
        <f>(+D24+[2]Sched.A!$D24)/2</f>
        <v>14101633.388671299</v>
      </c>
      <c r="E101" s="277"/>
      <c r="F101" s="769">
        <f>ROUND(+D101/D$28,3)</f>
        <v>8.5999999999999993E-2</v>
      </c>
      <c r="G101" s="277"/>
      <c r="H101" s="574">
        <f t="shared" si="5"/>
        <v>16684990.3584</v>
      </c>
      <c r="I101" s="277"/>
      <c r="J101" s="770">
        <f>+ROUND(H101/$H$28,3)</f>
        <v>0.11700000000000001</v>
      </c>
      <c r="K101" s="277"/>
      <c r="L101" s="574">
        <f t="shared" si="6"/>
        <v>16550361</v>
      </c>
      <c r="M101" s="277"/>
      <c r="N101" s="769">
        <f>+ROUND(L101/$L$28,3)</f>
        <v>0.10100000000000001</v>
      </c>
      <c r="O101" s="277"/>
      <c r="P101" s="574">
        <f>+L101-H101</f>
        <v>-134629.35840000026</v>
      </c>
      <c r="Q101" s="277"/>
      <c r="R101" s="770">
        <f>+P101/H101</f>
        <v>-8.0688903923892032E-3</v>
      </c>
      <c r="S101" s="12"/>
      <c r="T101" s="12"/>
      <c r="AK101" s="12"/>
      <c r="AL101" s="12"/>
    </row>
    <row r="102" spans="1:38">
      <c r="A102" s="277"/>
      <c r="B102" s="277"/>
      <c r="C102" s="277"/>
      <c r="D102" s="574"/>
      <c r="E102" s="277"/>
      <c r="F102" s="769"/>
      <c r="G102" s="277"/>
      <c r="H102" s="574"/>
      <c r="I102" s="277"/>
      <c r="J102" s="770"/>
      <c r="K102" s="277"/>
      <c r="L102" s="574"/>
      <c r="M102" s="277"/>
      <c r="N102" s="769"/>
      <c r="O102" s="277"/>
      <c r="P102" s="574"/>
      <c r="Q102" s="277"/>
      <c r="R102" s="770"/>
      <c r="S102" s="12"/>
      <c r="T102" s="12"/>
      <c r="AK102" s="12"/>
      <c r="AL102" s="12"/>
    </row>
    <row r="103" spans="1:38">
      <c r="A103" s="277" t="s">
        <v>427</v>
      </c>
      <c r="B103" s="277"/>
      <c r="C103" s="277"/>
      <c r="D103" s="574">
        <f>(+D26+[2]Sched.A!$D26)/2</f>
        <v>911543</v>
      </c>
      <c r="E103" s="277"/>
      <c r="F103" s="769">
        <f>ROUND(+D103/D$28,3)</f>
        <v>6.0000000000000001E-3</v>
      </c>
      <c r="G103" s="277"/>
      <c r="H103" s="574">
        <f t="shared" si="5"/>
        <v>944999.9118</v>
      </c>
      <c r="I103" s="277"/>
      <c r="J103" s="771">
        <f>+ROUND(H103/$H$28,3)</f>
        <v>7.0000000000000001E-3</v>
      </c>
      <c r="K103" s="277"/>
      <c r="L103" s="574">
        <f>+L26</f>
        <v>916738</v>
      </c>
      <c r="M103" s="277"/>
      <c r="N103" s="771">
        <f t="shared" ref="N103" si="7">+ROUND(L103/$L$28,3)</f>
        <v>6.0000000000000001E-3</v>
      </c>
      <c r="O103" s="277"/>
      <c r="P103" s="574">
        <f t="shared" ref="P103" si="8">+L103-H103</f>
        <v>-28261.911800000002</v>
      </c>
      <c r="Q103" s="277"/>
      <c r="R103" s="770">
        <f t="shared" ref="R103" si="9">+P103/H103</f>
        <v>-2.9906787764845167E-2</v>
      </c>
      <c r="S103" s="12"/>
      <c r="T103" s="12"/>
      <c r="AK103" s="12"/>
      <c r="AL103" s="12"/>
    </row>
    <row r="104" spans="1:38">
      <c r="A104" s="277"/>
      <c r="B104" s="277"/>
      <c r="C104" s="277"/>
      <c r="D104" s="763"/>
      <c r="E104" s="277"/>
      <c r="F104" s="763"/>
      <c r="G104" s="277"/>
      <c r="H104" s="763"/>
      <c r="I104" s="277"/>
      <c r="J104" s="767"/>
      <c r="K104" s="277"/>
      <c r="L104" s="763"/>
      <c r="M104" s="277"/>
      <c r="N104" s="767"/>
      <c r="O104" s="277"/>
      <c r="P104" s="763"/>
      <c r="Q104" s="277"/>
      <c r="R104" s="277"/>
      <c r="S104" s="12"/>
      <c r="T104" s="12"/>
      <c r="U104" s="12"/>
      <c r="V104" s="12"/>
      <c r="AK104" s="12"/>
      <c r="AL104" s="12"/>
    </row>
    <row r="105" spans="1:38" ht="15.75" thickBot="1">
      <c r="A105" s="277" t="s">
        <v>176</v>
      </c>
      <c r="B105" s="277"/>
      <c r="C105" s="277"/>
      <c r="D105" s="768">
        <f>SUM(D93:D103)</f>
        <v>164388949.38867131</v>
      </c>
      <c r="E105" s="277"/>
      <c r="F105" s="770">
        <f>SUM(F93:F103)</f>
        <v>1</v>
      </c>
      <c r="G105" s="277"/>
      <c r="H105" s="768">
        <f>SUM(H93:H103)</f>
        <v>142727562.13031626</v>
      </c>
      <c r="I105" s="277"/>
      <c r="J105" s="770">
        <f>SUM(J93:J103)</f>
        <v>1</v>
      </c>
      <c r="K105" s="277"/>
      <c r="L105" s="768">
        <f>SUM(L93:L103)</f>
        <v>164388423.45416647</v>
      </c>
      <c r="M105" s="277"/>
      <c r="N105" s="770">
        <f>SUM(N93:N103)</f>
        <v>1</v>
      </c>
      <c r="O105" s="277"/>
      <c r="P105" s="768">
        <f>SUM(P93:P103)</f>
        <v>21660861.323850233</v>
      </c>
      <c r="Q105" s="277"/>
      <c r="R105" s="770">
        <f>+P105/H105</f>
        <v>0.15176368881066543</v>
      </c>
      <c r="S105" s="12"/>
      <c r="T105" s="12"/>
      <c r="U105" s="12"/>
      <c r="V105" s="12"/>
      <c r="AK105" s="12"/>
      <c r="AL105" s="12"/>
    </row>
    <row r="106" spans="1:38" ht="15.75" thickTop="1">
      <c r="A106" s="277"/>
      <c r="B106" s="277"/>
      <c r="C106" s="277"/>
      <c r="D106" s="772"/>
      <c r="E106" s="277"/>
      <c r="F106" s="772"/>
      <c r="G106" s="277"/>
      <c r="H106" s="772"/>
      <c r="I106" s="277"/>
      <c r="J106" s="772"/>
      <c r="K106" s="277"/>
      <c r="L106" s="772"/>
      <c r="M106" s="277"/>
      <c r="N106" s="772"/>
      <c r="O106" s="277"/>
      <c r="P106" s="772"/>
      <c r="Q106" s="277"/>
      <c r="R106" s="277"/>
      <c r="S106" s="12"/>
      <c r="T106" s="12"/>
      <c r="AK106" s="12"/>
      <c r="AL106" s="12"/>
    </row>
    <row r="107" spans="1:38">
      <c r="A107" s="277"/>
      <c r="B107" s="277"/>
      <c r="C107" s="277"/>
      <c r="D107" s="277"/>
      <c r="E107" s="277"/>
      <c r="F107" s="277"/>
      <c r="G107" s="277"/>
      <c r="H107" s="277"/>
      <c r="I107" s="277"/>
      <c r="J107" s="277"/>
      <c r="K107" s="277"/>
      <c r="L107" s="277"/>
      <c r="M107" s="277"/>
      <c r="N107" s="277"/>
      <c r="O107" s="277"/>
      <c r="P107" s="277"/>
      <c r="Q107" s="277"/>
      <c r="R107" s="770"/>
      <c r="S107" s="12"/>
      <c r="T107" s="12"/>
      <c r="AK107" s="12"/>
      <c r="AL107" s="12"/>
    </row>
    <row r="108" spans="1:38">
      <c r="A108" s="277" t="s">
        <v>6</v>
      </c>
      <c r="B108" s="277"/>
      <c r="C108" s="277"/>
      <c r="D108" s="773">
        <f>+Alloc!$I$227</f>
        <v>2278000</v>
      </c>
      <c r="E108" s="277"/>
      <c r="F108" s="277"/>
      <c r="G108" s="277"/>
      <c r="H108" s="773">
        <f>+Alloc!$I$227</f>
        <v>2278000</v>
      </c>
      <c r="I108" s="277"/>
      <c r="J108" s="767"/>
      <c r="K108" s="277"/>
      <c r="L108" s="773">
        <f>+Alloc!$I$227</f>
        <v>2278000</v>
      </c>
      <c r="M108" s="277"/>
      <c r="N108" s="277"/>
      <c r="O108" s="277"/>
      <c r="P108" s="277">
        <f>+L108-H108</f>
        <v>0</v>
      </c>
      <c r="Q108" s="277"/>
      <c r="R108" s="770"/>
      <c r="S108" s="12"/>
      <c r="T108" s="12"/>
      <c r="AK108" s="12"/>
      <c r="AL108" s="12"/>
    </row>
    <row r="109" spans="1:38">
      <c r="A109" s="277"/>
      <c r="B109" s="277"/>
      <c r="C109" s="277"/>
      <c r="D109" s="763"/>
      <c r="E109" s="277"/>
      <c r="F109" s="277"/>
      <c r="G109" s="277"/>
      <c r="H109" s="763"/>
      <c r="I109" s="277"/>
      <c r="J109" s="767"/>
      <c r="K109" s="277"/>
      <c r="L109" s="763"/>
      <c r="M109" s="277"/>
      <c r="N109" s="277"/>
      <c r="O109" s="277"/>
      <c r="P109" s="763"/>
      <c r="Q109" s="277"/>
      <c r="R109" s="277"/>
      <c r="S109" s="12"/>
      <c r="T109" s="12"/>
      <c r="AK109" s="12"/>
      <c r="AL109" s="12"/>
    </row>
    <row r="110" spans="1:38" ht="15.75" thickBot="1">
      <c r="A110" s="277" t="s">
        <v>7</v>
      </c>
      <c r="B110" s="277"/>
      <c r="C110" s="277"/>
      <c r="D110" s="774">
        <f>SUM(D105:D108)</f>
        <v>166666949.38867131</v>
      </c>
      <c r="E110" s="277"/>
      <c r="F110" s="277"/>
      <c r="G110" s="277"/>
      <c r="H110" s="774">
        <f>SUM(H105:H108)</f>
        <v>145005562.13031626</v>
      </c>
      <c r="I110" s="775"/>
      <c r="J110" s="776"/>
      <c r="K110" s="775"/>
      <c r="L110" s="774">
        <f>SUM(L105:L108)</f>
        <v>166666423.45416647</v>
      </c>
      <c r="M110" s="775"/>
      <c r="N110" s="775"/>
      <c r="O110" s="775"/>
      <c r="P110" s="774">
        <f>SUM(P105:P108)</f>
        <v>21660861.323850233</v>
      </c>
      <c r="Q110" s="277"/>
      <c r="R110" s="770">
        <f>+P110/H110</f>
        <v>0.14937952038269853</v>
      </c>
      <c r="S110" s="12"/>
      <c r="T110" s="12"/>
      <c r="AK110" s="12"/>
      <c r="AL110" s="12"/>
    </row>
    <row r="111" spans="1:38" ht="15.75" thickTop="1">
      <c r="A111" s="282"/>
      <c r="B111" s="282"/>
      <c r="C111" s="282"/>
      <c r="D111" s="282"/>
      <c r="E111" s="282"/>
      <c r="F111" s="282"/>
      <c r="G111" s="282"/>
      <c r="H111" s="777"/>
      <c r="I111" s="282"/>
      <c r="J111" s="777"/>
      <c r="K111" s="282"/>
      <c r="L111" s="777"/>
      <c r="M111" s="282"/>
      <c r="N111" s="282"/>
      <c r="O111" s="282"/>
      <c r="P111" s="777"/>
      <c r="Q111" s="282"/>
      <c r="R111" s="282"/>
      <c r="S111" s="12"/>
      <c r="T111" s="12"/>
      <c r="AK111" s="12"/>
      <c r="AL111" s="12"/>
    </row>
    <row r="112" spans="1:38" ht="12" customHeight="1">
      <c r="A112" s="694"/>
      <c r="B112" s="695"/>
      <c r="C112" s="695"/>
      <c r="D112" s="282"/>
      <c r="E112" s="282"/>
      <c r="F112" s="282"/>
      <c r="G112" s="282"/>
      <c r="H112" s="112"/>
      <c r="I112" s="112"/>
      <c r="J112" s="112"/>
      <c r="K112" s="112"/>
      <c r="L112" s="112"/>
      <c r="M112" s="282"/>
      <c r="N112" s="282"/>
      <c r="O112" s="282"/>
      <c r="P112" s="282"/>
      <c r="Q112" s="282"/>
      <c r="R112" s="282"/>
      <c r="S112" s="12"/>
      <c r="T112" s="12"/>
      <c r="AK112" s="12"/>
      <c r="AL112" s="12"/>
    </row>
    <row r="113" spans="1:38">
      <c r="A113" s="696"/>
      <c r="B113" s="282"/>
      <c r="C113" s="282"/>
      <c r="D113" s="282"/>
      <c r="E113" s="282"/>
      <c r="F113" s="282"/>
      <c r="G113" s="282"/>
      <c r="H113" s="112"/>
      <c r="I113" s="112"/>
      <c r="J113" s="112"/>
      <c r="K113" s="112"/>
      <c r="L113" s="112"/>
      <c r="M113" s="282"/>
      <c r="N113" s="282"/>
      <c r="O113" s="282"/>
      <c r="P113" s="282"/>
      <c r="Q113" s="282"/>
      <c r="R113" s="282"/>
      <c r="S113" s="12"/>
      <c r="T113" s="12"/>
      <c r="AK113" s="12"/>
      <c r="AL113" s="12"/>
    </row>
    <row r="114" spans="1:38">
      <c r="A114" s="12"/>
      <c r="B114" s="12"/>
      <c r="C114" s="12"/>
      <c r="D114" s="12"/>
      <c r="E114" s="12"/>
      <c r="F114" s="12"/>
      <c r="G114" s="12"/>
      <c r="H114" s="610">
        <f>+H37</f>
        <v>67294166.775106668</v>
      </c>
      <c r="I114" s="609" t="s">
        <v>585</v>
      </c>
      <c r="J114" s="611"/>
      <c r="K114" s="609"/>
      <c r="L114" s="610">
        <f>+L37</f>
        <v>67294166.775106668</v>
      </c>
      <c r="M114" s="12"/>
      <c r="N114" s="12"/>
      <c r="O114" s="12"/>
      <c r="P114" s="12"/>
      <c r="Q114" s="12"/>
      <c r="R114" s="12"/>
      <c r="S114" s="12"/>
      <c r="T114" s="12"/>
      <c r="AK114" s="12"/>
      <c r="AL114" s="12"/>
    </row>
    <row r="115" spans="1:38">
      <c r="A115" s="12"/>
      <c r="B115" s="12"/>
      <c r="C115" s="12"/>
      <c r="D115" s="12"/>
      <c r="E115" s="12"/>
      <c r="F115" s="12"/>
      <c r="G115" s="12"/>
      <c r="H115" s="609">
        <f>+H114+H110</f>
        <v>212299728.90542293</v>
      </c>
      <c r="I115" s="609"/>
      <c r="J115" s="609" t="s">
        <v>586</v>
      </c>
      <c r="K115" s="609"/>
      <c r="L115" s="609">
        <f>+L114+L110</f>
        <v>233960590.22927314</v>
      </c>
      <c r="M115" s="12"/>
      <c r="N115" s="12"/>
      <c r="O115" s="12"/>
      <c r="P115" s="12"/>
      <c r="Q115" s="12"/>
      <c r="R115" s="12"/>
      <c r="S115" s="12"/>
      <c r="T115" s="12"/>
      <c r="AK115" s="12"/>
      <c r="AL115" s="12"/>
    </row>
    <row r="116" spans="1:38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AK116" s="12"/>
      <c r="AL116" s="12"/>
    </row>
    <row r="117" spans="1:38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AK117" s="12"/>
      <c r="AL117" s="12"/>
    </row>
    <row r="118" spans="1:38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AK118" s="12"/>
      <c r="AL118" s="12"/>
    </row>
    <row r="119" spans="1:38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AK119" s="12"/>
      <c r="AL119" s="12"/>
    </row>
    <row r="120" spans="1:38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AK120" s="12"/>
      <c r="AL120" s="12"/>
    </row>
    <row r="121" spans="1:38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AK121" s="12"/>
      <c r="AL121" s="12"/>
    </row>
    <row r="122" spans="1:38" ht="6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AK122" s="12"/>
      <c r="AL122" s="12"/>
    </row>
    <row r="123" spans="1:38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AK123" s="12"/>
      <c r="AL123" s="12"/>
    </row>
    <row r="124" spans="1:38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AK124" s="12"/>
      <c r="AL124" s="12"/>
    </row>
    <row r="125" spans="1:38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AK125" s="12"/>
      <c r="AL125" s="12"/>
    </row>
    <row r="126" spans="1:38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AK126" s="12"/>
      <c r="AL126" s="12"/>
    </row>
    <row r="127" spans="1:38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AK127" s="12"/>
      <c r="AL127" s="12"/>
    </row>
    <row r="128" spans="1:38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AK128" s="12"/>
      <c r="AL128" s="12"/>
    </row>
    <row r="129" spans="1:38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AK129" s="12"/>
      <c r="AL129" s="12"/>
    </row>
    <row r="130" spans="1:38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AK130" s="12"/>
      <c r="AL130" s="12"/>
    </row>
    <row r="131" spans="1:38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AK131" s="12"/>
      <c r="AL131" s="12"/>
    </row>
    <row r="132" spans="1:38" ht="6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AK132" s="12"/>
      <c r="AL132" s="12"/>
    </row>
    <row r="133" spans="1:38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AK133" s="12"/>
      <c r="AL133" s="12"/>
    </row>
    <row r="134" spans="1:38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AK134" s="12"/>
      <c r="AL134" s="12"/>
    </row>
    <row r="135" spans="1:38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AK135" s="12"/>
      <c r="AL135" s="12"/>
    </row>
    <row r="136" spans="1:38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AK136" s="12"/>
      <c r="AL136" s="12"/>
    </row>
    <row r="137" spans="1:38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AK137" s="12"/>
      <c r="AL137" s="12"/>
    </row>
    <row r="138" spans="1:38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AK138" s="12"/>
      <c r="AL138" s="12"/>
    </row>
    <row r="139" spans="1:38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AK139" s="12"/>
      <c r="AL139" s="12"/>
    </row>
    <row r="140" spans="1:38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AK140" s="12"/>
      <c r="AL140" s="12"/>
    </row>
    <row r="141" spans="1:38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AK141" s="12"/>
      <c r="AL141" s="12"/>
    </row>
    <row r="142" spans="1:38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AK142" s="12"/>
      <c r="AL142" s="12"/>
    </row>
    <row r="143" spans="1:38" ht="6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AK143" s="12"/>
      <c r="AL143" s="12"/>
    </row>
    <row r="144" spans="1:38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AK144" s="12"/>
      <c r="AL144" s="12"/>
    </row>
    <row r="145" spans="1:42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AK145" s="12"/>
      <c r="AL145" s="12"/>
    </row>
    <row r="146" spans="1:42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AK146" s="12"/>
      <c r="AL146" s="12"/>
    </row>
    <row r="147" spans="1:42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AK147" s="12"/>
      <c r="AL147" s="12"/>
    </row>
    <row r="148" spans="1:42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AK148" s="12"/>
      <c r="AL148" s="12"/>
    </row>
    <row r="149" spans="1:42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AK149" s="12"/>
      <c r="AL149" s="12"/>
    </row>
    <row r="150" spans="1:42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AK150" s="12"/>
      <c r="AL150" s="12"/>
    </row>
    <row r="151" spans="1:42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AK151" s="12"/>
      <c r="AL151" s="12"/>
    </row>
    <row r="152" spans="1:42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AK152" s="12"/>
      <c r="AL152" s="12"/>
    </row>
    <row r="153" spans="1:42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AK153" s="12"/>
      <c r="AL153" s="12"/>
    </row>
    <row r="154" spans="1:42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AK154" s="12"/>
      <c r="AL154" s="12"/>
    </row>
    <row r="155" spans="1:42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96"/>
      <c r="X155" s="12"/>
      <c r="Y155" s="12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12"/>
      <c r="AL155" s="12"/>
    </row>
    <row r="156" spans="1:42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96"/>
      <c r="X156" s="12"/>
      <c r="Y156" s="12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12"/>
      <c r="AL156" s="12"/>
    </row>
    <row r="157" spans="1:42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96"/>
      <c r="X157" s="12"/>
      <c r="Y157" s="12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12"/>
      <c r="AL157" s="12"/>
    </row>
    <row r="158" spans="1:42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96"/>
      <c r="X158" s="12"/>
      <c r="Y158" s="12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12"/>
      <c r="AL158" s="12"/>
    </row>
    <row r="159" spans="1:42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96"/>
      <c r="X159" s="12"/>
      <c r="Y159" s="12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12"/>
      <c r="AL159" s="12"/>
    </row>
    <row r="160" spans="1:42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96"/>
      <c r="X160" s="12"/>
      <c r="Y160" s="12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12"/>
      <c r="AL160" s="12"/>
      <c r="AM160" s="36"/>
      <c r="AN160" s="36"/>
      <c r="AO160" s="36"/>
      <c r="AP160" s="36"/>
    </row>
    <row r="161" spans="1:42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82"/>
      <c r="V161" s="182"/>
      <c r="W161" s="96"/>
      <c r="X161" s="182"/>
      <c r="Y161" s="182"/>
      <c r="Z161" s="245"/>
      <c r="AA161" s="245"/>
      <c r="AB161" s="245"/>
      <c r="AC161" s="245"/>
      <c r="AD161" s="245"/>
      <c r="AE161" s="245"/>
      <c r="AF161" s="245"/>
      <c r="AG161" s="245"/>
      <c r="AH161" s="245"/>
      <c r="AI161" s="245"/>
      <c r="AJ161" s="245"/>
      <c r="AK161" s="182"/>
      <c r="AL161" s="182"/>
      <c r="AM161" s="36"/>
      <c r="AN161" s="36"/>
      <c r="AO161" s="36"/>
      <c r="AP161" s="36"/>
    </row>
    <row r="162" spans="1:42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82"/>
      <c r="V162" s="182"/>
      <c r="W162" s="96"/>
      <c r="X162" s="182"/>
      <c r="Y162" s="182"/>
      <c r="Z162" s="245"/>
      <c r="AA162" s="245"/>
      <c r="AB162" s="245"/>
      <c r="AC162" s="245"/>
      <c r="AD162" s="245"/>
      <c r="AE162" s="245"/>
      <c r="AF162" s="245"/>
      <c r="AG162" s="245"/>
      <c r="AH162" s="245"/>
      <c r="AI162" s="245"/>
      <c r="AJ162" s="245"/>
      <c r="AK162" s="182"/>
      <c r="AL162" s="182"/>
      <c r="AM162" s="36"/>
      <c r="AN162" s="36"/>
      <c r="AO162" s="36"/>
      <c r="AP162" s="36"/>
    </row>
    <row r="163" spans="1:42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82"/>
      <c r="V163" s="182"/>
      <c r="W163" s="195"/>
      <c r="X163" s="182"/>
      <c r="Y163" s="182"/>
      <c r="Z163" s="245"/>
      <c r="AA163" s="245"/>
      <c r="AB163" s="245"/>
      <c r="AC163" s="245"/>
      <c r="AD163" s="245"/>
      <c r="AE163" s="245"/>
      <c r="AF163" s="245"/>
      <c r="AG163" s="245"/>
      <c r="AH163" s="245"/>
      <c r="AI163" s="245"/>
      <c r="AJ163" s="245"/>
      <c r="AK163" s="182"/>
      <c r="AL163" s="182"/>
      <c r="AM163" s="36"/>
      <c r="AN163" s="36"/>
      <c r="AO163" s="36"/>
      <c r="AP163" s="36"/>
    </row>
    <row r="164" spans="1:42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95"/>
      <c r="V164" s="182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82"/>
      <c r="AL164" s="182"/>
      <c r="AM164" s="36"/>
      <c r="AN164" s="36"/>
      <c r="AO164" s="36"/>
      <c r="AP164" s="36"/>
    </row>
    <row r="165" spans="1:42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82"/>
      <c r="AL165" s="182"/>
      <c r="AM165" s="36"/>
      <c r="AN165" s="36"/>
      <c r="AO165" s="36"/>
      <c r="AP165" s="36"/>
    </row>
    <row r="166" spans="1:42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95"/>
      <c r="V166" s="195"/>
      <c r="W166" s="195"/>
      <c r="X166" s="195"/>
      <c r="Y166" s="195"/>
      <c r="Z166" s="246"/>
      <c r="AA166" s="195"/>
      <c r="AB166" s="246"/>
      <c r="AC166" s="195"/>
      <c r="AD166" s="246"/>
      <c r="AE166" s="246"/>
      <c r="AF166" s="246"/>
      <c r="AG166" s="195"/>
      <c r="AH166" s="246"/>
      <c r="AI166" s="246"/>
      <c r="AJ166" s="246"/>
      <c r="AK166" s="182"/>
      <c r="AL166" s="182"/>
      <c r="AM166" s="36"/>
      <c r="AN166" s="36"/>
      <c r="AO166" s="36"/>
      <c r="AP166" s="36"/>
    </row>
    <row r="167" spans="1:42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82"/>
      <c r="V167" s="182"/>
      <c r="W167" s="182"/>
      <c r="X167" s="182"/>
      <c r="Y167" s="182"/>
      <c r="Z167" s="182"/>
      <c r="AA167" s="182"/>
      <c r="AB167" s="182"/>
      <c r="AC167" s="182"/>
      <c r="AD167" s="182"/>
      <c r="AE167" s="182"/>
      <c r="AF167" s="182"/>
      <c r="AG167" s="182"/>
      <c r="AH167" s="182"/>
      <c r="AI167" s="182"/>
      <c r="AJ167" s="182"/>
      <c r="AK167" s="182"/>
      <c r="AL167" s="182"/>
      <c r="AM167" s="36"/>
      <c r="AN167" s="36"/>
      <c r="AO167" s="36"/>
      <c r="AP167" s="36"/>
    </row>
    <row r="168" spans="1:42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36"/>
      <c r="AN168" s="36"/>
      <c r="AO168" s="36"/>
      <c r="AP168" s="36"/>
    </row>
    <row r="169" spans="1:42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36"/>
      <c r="AN169" s="36"/>
      <c r="AO169" s="36"/>
      <c r="AP169" s="36"/>
    </row>
    <row r="170" spans="1:42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247"/>
      <c r="AI170" s="247"/>
      <c r="AJ170" s="182"/>
      <c r="AK170" s="182"/>
      <c r="AL170" s="182"/>
      <c r="AM170" s="36"/>
      <c r="AN170" s="36"/>
      <c r="AO170" s="36"/>
      <c r="AP170" s="36"/>
    </row>
    <row r="171" spans="1:42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247"/>
      <c r="AI171" s="247"/>
      <c r="AJ171" s="182"/>
      <c r="AK171" s="182"/>
      <c r="AL171" s="182"/>
      <c r="AM171" s="36"/>
      <c r="AN171" s="36"/>
      <c r="AO171" s="36"/>
      <c r="AP171" s="36"/>
    </row>
    <row r="172" spans="1:42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247"/>
      <c r="AI172" s="247"/>
      <c r="AJ172" s="182"/>
      <c r="AK172" s="182"/>
      <c r="AL172" s="182"/>
      <c r="AM172" s="36"/>
      <c r="AN172" s="36"/>
      <c r="AO172" s="36"/>
      <c r="AP172" s="36"/>
    </row>
    <row r="173" spans="1:4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247"/>
      <c r="AI173" s="247"/>
      <c r="AJ173" s="182"/>
      <c r="AK173" s="182"/>
      <c r="AL173" s="182"/>
      <c r="AM173" s="36"/>
      <c r="AN173" s="36"/>
      <c r="AO173" s="36"/>
      <c r="AP173" s="36"/>
    </row>
    <row r="174" spans="1:42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247"/>
      <c r="AI174" s="247"/>
      <c r="AJ174" s="182"/>
      <c r="AK174" s="182"/>
      <c r="AL174" s="182"/>
      <c r="AM174" s="36"/>
      <c r="AN174" s="36"/>
      <c r="AO174" s="36"/>
      <c r="AP174" s="36"/>
    </row>
    <row r="175" spans="1:42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247"/>
      <c r="AI175" s="247"/>
      <c r="AJ175" s="182"/>
      <c r="AK175" s="182"/>
      <c r="AL175" s="182"/>
      <c r="AM175" s="36"/>
      <c r="AN175" s="36"/>
      <c r="AO175" s="36"/>
      <c r="AP175" s="36"/>
    </row>
    <row r="176" spans="1:42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82"/>
      <c r="V176" s="182"/>
      <c r="W176" s="182"/>
      <c r="X176" s="182"/>
      <c r="Y176" s="182"/>
      <c r="Z176" s="248"/>
      <c r="AA176" s="182"/>
      <c r="AB176" s="248"/>
      <c r="AC176" s="182"/>
      <c r="AD176" s="248"/>
      <c r="AE176" s="248"/>
      <c r="AF176" s="248"/>
      <c r="AG176" s="182"/>
      <c r="AH176" s="247"/>
      <c r="AI176" s="247"/>
      <c r="AJ176" s="248"/>
      <c r="AK176" s="182"/>
      <c r="AL176" s="182"/>
      <c r="AM176" s="36"/>
      <c r="AN176" s="36"/>
      <c r="AO176" s="36"/>
      <c r="AP176" s="36"/>
    </row>
    <row r="177" spans="1:42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82"/>
      <c r="V177" s="182"/>
      <c r="W177" s="182"/>
      <c r="X177" s="182"/>
      <c r="Y177" s="182"/>
      <c r="Z177" s="182"/>
      <c r="AA177" s="182"/>
      <c r="AB177" s="182"/>
      <c r="AC177" s="182"/>
      <c r="AD177" s="182"/>
      <c r="AE177" s="182"/>
      <c r="AF177" s="182"/>
      <c r="AG177" s="182"/>
      <c r="AH177" s="247"/>
      <c r="AI177" s="247"/>
      <c r="AJ177" s="182"/>
      <c r="AK177" s="182"/>
      <c r="AL177" s="182"/>
      <c r="AM177" s="36"/>
      <c r="AN177" s="36"/>
      <c r="AO177" s="36"/>
      <c r="AP177" s="36"/>
    </row>
    <row r="178" spans="1:42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82"/>
      <c r="V178" s="182"/>
      <c r="W178" s="182"/>
      <c r="X178" s="182"/>
      <c r="Y178" s="182"/>
      <c r="Z178" s="182"/>
      <c r="AA178" s="182"/>
      <c r="AB178" s="182"/>
      <c r="AC178" s="182"/>
      <c r="AD178" s="182"/>
      <c r="AE178" s="182"/>
      <c r="AF178" s="182"/>
      <c r="AG178" s="182"/>
      <c r="AH178" s="247"/>
      <c r="AI178" s="247"/>
      <c r="AJ178" s="182"/>
      <c r="AK178" s="182"/>
      <c r="AL178" s="182"/>
      <c r="AM178" s="36"/>
      <c r="AN178" s="36"/>
      <c r="AO178" s="36"/>
      <c r="AP178" s="36"/>
    </row>
    <row r="179" spans="1:42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82"/>
      <c r="V179" s="182"/>
      <c r="W179" s="182"/>
      <c r="X179" s="182"/>
      <c r="Y179" s="182"/>
      <c r="Z179" s="182"/>
      <c r="AA179" s="182"/>
      <c r="AB179" s="182"/>
      <c r="AC179" s="182"/>
      <c r="AD179" s="182"/>
      <c r="AE179" s="182"/>
      <c r="AF179" s="182"/>
      <c r="AG179" s="182"/>
      <c r="AH179" s="247"/>
      <c r="AI179" s="247"/>
      <c r="AJ179" s="249"/>
      <c r="AK179" s="182"/>
      <c r="AL179" s="182"/>
      <c r="AM179" s="36"/>
      <c r="AN179" s="36"/>
      <c r="AO179" s="36"/>
      <c r="AP179" s="36"/>
    </row>
    <row r="180" spans="1:42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82"/>
      <c r="V180" s="182"/>
      <c r="W180" s="182"/>
      <c r="X180" s="182"/>
      <c r="Y180" s="182"/>
      <c r="Z180" s="182"/>
      <c r="AA180" s="182"/>
      <c r="AB180" s="182"/>
      <c r="AC180" s="182"/>
      <c r="AD180" s="182"/>
      <c r="AE180" s="182"/>
      <c r="AF180" s="182"/>
      <c r="AG180" s="182"/>
      <c r="AH180" s="247"/>
      <c r="AI180" s="247"/>
      <c r="AJ180" s="182"/>
      <c r="AK180" s="182"/>
      <c r="AL180" s="182"/>
      <c r="AM180" s="36"/>
      <c r="AN180" s="36"/>
      <c r="AO180" s="36"/>
      <c r="AP180" s="36"/>
    </row>
    <row r="181" spans="1:42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82"/>
      <c r="V181" s="182"/>
      <c r="W181" s="182"/>
      <c r="X181" s="182"/>
      <c r="Y181" s="182"/>
      <c r="Z181" s="182"/>
      <c r="AA181" s="182"/>
      <c r="AB181" s="182"/>
      <c r="AC181" s="182"/>
      <c r="AD181" s="182"/>
      <c r="AE181" s="182"/>
      <c r="AF181" s="182"/>
      <c r="AG181" s="182"/>
      <c r="AH181" s="247"/>
      <c r="AI181" s="247"/>
      <c r="AJ181" s="182"/>
      <c r="AK181" s="182"/>
      <c r="AL181" s="182"/>
      <c r="AM181" s="36"/>
      <c r="AN181" s="36"/>
      <c r="AO181" s="36"/>
      <c r="AP181" s="36"/>
    </row>
    <row r="182" spans="1:42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82"/>
      <c r="V182" s="182"/>
      <c r="W182" s="182"/>
      <c r="X182" s="182"/>
      <c r="Y182" s="182"/>
      <c r="Z182" s="182"/>
      <c r="AA182" s="182"/>
      <c r="AB182" s="182"/>
      <c r="AC182" s="182"/>
      <c r="AD182" s="182"/>
      <c r="AE182" s="182"/>
      <c r="AF182" s="182"/>
      <c r="AG182" s="182"/>
      <c r="AH182" s="247"/>
      <c r="AI182" s="247"/>
      <c r="AJ182" s="182"/>
      <c r="AK182" s="182"/>
      <c r="AL182" s="182"/>
      <c r="AM182" s="36"/>
      <c r="AN182" s="36"/>
      <c r="AO182" s="36"/>
      <c r="AP182" s="36"/>
    </row>
    <row r="183" spans="1:42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250"/>
      <c r="V183" s="251"/>
      <c r="W183" s="251"/>
      <c r="X183" s="251"/>
      <c r="Y183" s="251"/>
      <c r="Z183" s="251"/>
      <c r="AA183" s="251"/>
      <c r="AB183" s="251"/>
      <c r="AC183" s="251"/>
      <c r="AD183" s="251"/>
      <c r="AE183" s="251"/>
      <c r="AF183" s="251"/>
      <c r="AG183" s="251"/>
      <c r="AH183" s="252"/>
      <c r="AI183" s="252"/>
      <c r="AJ183" s="251"/>
      <c r="AK183" s="182"/>
      <c r="AL183" s="182"/>
      <c r="AM183" s="36"/>
      <c r="AN183" s="36"/>
      <c r="AO183" s="36"/>
      <c r="AP183" s="36"/>
    </row>
    <row r="184" spans="1:42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82"/>
      <c r="V184" s="182"/>
      <c r="W184" s="182"/>
      <c r="X184" s="182"/>
      <c r="Y184" s="182"/>
      <c r="Z184" s="182"/>
      <c r="AA184" s="182"/>
      <c r="AB184" s="182"/>
      <c r="AC184" s="182"/>
      <c r="AD184" s="182"/>
      <c r="AE184" s="182"/>
      <c r="AF184" s="182"/>
      <c r="AG184" s="182"/>
      <c r="AH184" s="247"/>
      <c r="AI184" s="247"/>
      <c r="AJ184" s="182"/>
      <c r="AK184" s="182"/>
      <c r="AL184" s="182"/>
      <c r="AM184" s="36"/>
      <c r="AN184" s="36"/>
      <c r="AO184" s="36"/>
      <c r="AP184" s="36"/>
    </row>
    <row r="185" spans="1:42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251"/>
      <c r="V185" s="251"/>
      <c r="W185" s="251"/>
      <c r="X185" s="251"/>
      <c r="Y185" s="251"/>
      <c r="Z185" s="251"/>
      <c r="AA185" s="251"/>
      <c r="AB185" s="251"/>
      <c r="AC185" s="251"/>
      <c r="AD185" s="251"/>
      <c r="AE185" s="251"/>
      <c r="AF185" s="251"/>
      <c r="AG185" s="251"/>
      <c r="AH185" s="252"/>
      <c r="AI185" s="252"/>
      <c r="AJ185" s="251"/>
      <c r="AK185" s="182"/>
      <c r="AL185" s="182"/>
      <c r="AM185" s="36"/>
      <c r="AN185" s="36"/>
      <c r="AO185" s="36"/>
      <c r="AP185" s="36"/>
    </row>
    <row r="186" spans="1:42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82"/>
      <c r="V186" s="182"/>
      <c r="W186" s="182"/>
      <c r="X186" s="253"/>
      <c r="Y186" s="253"/>
      <c r="Z186" s="253"/>
      <c r="AA186" s="253"/>
      <c r="AB186" s="253"/>
      <c r="AC186" s="253"/>
      <c r="AD186" s="253"/>
      <c r="AE186" s="253"/>
      <c r="AF186" s="253"/>
      <c r="AG186" s="253"/>
      <c r="AH186" s="254"/>
      <c r="AI186" s="254"/>
      <c r="AJ186" s="253"/>
      <c r="AK186" s="182"/>
      <c r="AL186" s="182"/>
      <c r="AM186" s="36"/>
      <c r="AN186" s="36"/>
      <c r="AO186" s="36"/>
      <c r="AP186" s="36"/>
    </row>
    <row r="187" spans="1:42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82"/>
      <c r="V187" s="182"/>
      <c r="W187" s="182"/>
      <c r="X187" s="253"/>
      <c r="Y187" s="253"/>
      <c r="Z187" s="253"/>
      <c r="AA187" s="253"/>
      <c r="AB187" s="253"/>
      <c r="AC187" s="253"/>
      <c r="AD187" s="253"/>
      <c r="AE187" s="253"/>
      <c r="AF187" s="253"/>
      <c r="AG187" s="253"/>
      <c r="AH187" s="254"/>
      <c r="AI187" s="254"/>
      <c r="AJ187" s="253"/>
      <c r="AK187" s="182"/>
      <c r="AL187" s="182"/>
      <c r="AM187" s="36"/>
      <c r="AN187" s="36"/>
      <c r="AO187" s="36"/>
      <c r="AP187" s="36"/>
    </row>
    <row r="188" spans="1:42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82"/>
      <c r="V188" s="182"/>
      <c r="W188" s="182"/>
      <c r="X188" s="253"/>
      <c r="Y188" s="253"/>
      <c r="Z188" s="253"/>
      <c r="AA188" s="253"/>
      <c r="AB188" s="253"/>
      <c r="AC188" s="253"/>
      <c r="AD188" s="253"/>
      <c r="AE188" s="253"/>
      <c r="AF188" s="253"/>
      <c r="AG188" s="253"/>
      <c r="AH188" s="254"/>
      <c r="AI188" s="254"/>
      <c r="AJ188" s="253"/>
      <c r="AK188" s="182"/>
      <c r="AL188" s="182"/>
      <c r="AM188" s="36"/>
      <c r="AN188" s="36"/>
      <c r="AO188" s="36"/>
      <c r="AP188" s="36"/>
    </row>
    <row r="189" spans="1:42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251"/>
      <c r="V189" s="251"/>
      <c r="W189" s="182"/>
      <c r="X189" s="253"/>
      <c r="Y189" s="253"/>
      <c r="Z189" s="253"/>
      <c r="AA189" s="253"/>
      <c r="AB189" s="253"/>
      <c r="AC189" s="253"/>
      <c r="AD189" s="253"/>
      <c r="AE189" s="253"/>
      <c r="AF189" s="253"/>
      <c r="AG189" s="253"/>
      <c r="AH189" s="254"/>
      <c r="AI189" s="254"/>
      <c r="AJ189" s="253"/>
      <c r="AK189" s="182"/>
      <c r="AL189" s="182"/>
      <c r="AM189" s="36"/>
      <c r="AN189" s="36"/>
      <c r="AO189" s="36"/>
      <c r="AP189" s="36"/>
    </row>
    <row r="190" spans="1:42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251"/>
      <c r="V190" s="251"/>
      <c r="W190" s="182"/>
      <c r="X190" s="253"/>
      <c r="Y190" s="253"/>
      <c r="Z190" s="253"/>
      <c r="AA190" s="253"/>
      <c r="AB190" s="253"/>
      <c r="AC190" s="253"/>
      <c r="AD190" s="253"/>
      <c r="AE190" s="253"/>
      <c r="AF190" s="253"/>
      <c r="AG190" s="253"/>
      <c r="AH190" s="254"/>
      <c r="AI190" s="254"/>
      <c r="AJ190" s="253"/>
      <c r="AK190" s="182"/>
      <c r="AL190" s="182"/>
      <c r="AM190" s="36"/>
      <c r="AN190" s="36"/>
      <c r="AO190" s="36"/>
      <c r="AP190" s="36"/>
    </row>
    <row r="191" spans="1:42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251"/>
      <c r="V191" s="251"/>
      <c r="W191" s="182"/>
      <c r="X191" s="253"/>
      <c r="Y191" s="253"/>
      <c r="Z191" s="253"/>
      <c r="AA191" s="253"/>
      <c r="AB191" s="253"/>
      <c r="AC191" s="253"/>
      <c r="AD191" s="253"/>
      <c r="AE191" s="253"/>
      <c r="AF191" s="253"/>
      <c r="AG191" s="253"/>
      <c r="AH191" s="254"/>
      <c r="AI191" s="254"/>
      <c r="AJ191" s="253"/>
      <c r="AK191" s="182"/>
      <c r="AL191" s="182"/>
      <c r="AM191" s="36"/>
      <c r="AN191" s="36"/>
      <c r="AO191" s="36"/>
      <c r="AP191" s="36"/>
    </row>
    <row r="192" spans="1:42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82"/>
      <c r="V192" s="182"/>
      <c r="W192" s="182"/>
      <c r="X192" s="182"/>
      <c r="Y192" s="182"/>
      <c r="Z192" s="182"/>
      <c r="AA192" s="182"/>
      <c r="AB192" s="182"/>
      <c r="AC192" s="182"/>
      <c r="AD192" s="182"/>
      <c r="AE192" s="182"/>
      <c r="AF192" s="182"/>
      <c r="AG192" s="182"/>
      <c r="AH192" s="247"/>
      <c r="AI192" s="247"/>
      <c r="AJ192" s="182"/>
      <c r="AK192" s="182"/>
      <c r="AL192" s="182"/>
      <c r="AM192" s="36"/>
      <c r="AN192" s="36"/>
      <c r="AO192" s="36"/>
      <c r="AP192" s="36"/>
    </row>
    <row r="193" spans="1:42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82"/>
      <c r="V193" s="182"/>
      <c r="W193" s="182"/>
      <c r="X193" s="247"/>
      <c r="Y193" s="247"/>
      <c r="Z193" s="247"/>
      <c r="AA193" s="247"/>
      <c r="AB193" s="247"/>
      <c r="AC193" s="182"/>
      <c r="AD193" s="196"/>
      <c r="AE193" s="196"/>
      <c r="AF193" s="196"/>
      <c r="AG193" s="182"/>
      <c r="AH193" s="247"/>
      <c r="AI193" s="247"/>
      <c r="AJ193" s="247"/>
      <c r="AK193" s="182"/>
      <c r="AL193" s="182"/>
      <c r="AM193" s="36"/>
      <c r="AN193" s="36"/>
      <c r="AO193" s="36"/>
      <c r="AP193" s="36"/>
    </row>
    <row r="194" spans="1:42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82"/>
      <c r="V194" s="182"/>
      <c r="W194" s="182"/>
      <c r="X194" s="182"/>
      <c r="Y194" s="182"/>
      <c r="Z194" s="182"/>
      <c r="AA194" s="182"/>
      <c r="AB194" s="182"/>
      <c r="AC194" s="182"/>
      <c r="AD194" s="182"/>
      <c r="AE194" s="182"/>
      <c r="AF194" s="182"/>
      <c r="AG194" s="182"/>
      <c r="AH194" s="247"/>
      <c r="AI194" s="247"/>
      <c r="AJ194" s="182"/>
      <c r="AK194" s="182"/>
      <c r="AL194" s="182"/>
      <c r="AM194" s="36"/>
      <c r="AN194" s="36"/>
      <c r="AO194" s="36"/>
      <c r="AP194" s="36"/>
    </row>
    <row r="195" spans="1:42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82"/>
      <c r="V195" s="182"/>
      <c r="W195" s="182"/>
      <c r="X195" s="182"/>
      <c r="Y195" s="182"/>
      <c r="Z195" s="182"/>
      <c r="AA195" s="182"/>
      <c r="AB195" s="182"/>
      <c r="AC195" s="182"/>
      <c r="AD195" s="196"/>
      <c r="AE195" s="196"/>
      <c r="AF195" s="196"/>
      <c r="AG195" s="182"/>
      <c r="AH195" s="247"/>
      <c r="AI195" s="247"/>
      <c r="AJ195" s="182"/>
      <c r="AK195" s="182"/>
      <c r="AL195" s="182"/>
      <c r="AM195" s="36"/>
      <c r="AN195" s="36"/>
      <c r="AO195" s="36"/>
      <c r="AP195" s="36"/>
    </row>
    <row r="196" spans="1:42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82"/>
      <c r="V196" s="182"/>
      <c r="W196" s="182"/>
      <c r="X196" s="182"/>
      <c r="Y196" s="182"/>
      <c r="Z196" s="182"/>
      <c r="AA196" s="182"/>
      <c r="AB196" s="182"/>
      <c r="AC196" s="182"/>
      <c r="AD196" s="182"/>
      <c r="AE196" s="182"/>
      <c r="AF196" s="182"/>
      <c r="AG196" s="182"/>
      <c r="AH196" s="247"/>
      <c r="AI196" s="247"/>
      <c r="AJ196" s="182"/>
      <c r="AK196" s="182"/>
      <c r="AL196" s="182"/>
      <c r="AM196" s="36"/>
      <c r="AN196" s="36"/>
      <c r="AO196" s="36"/>
      <c r="AP196" s="36"/>
    </row>
    <row r="197" spans="1:42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82"/>
      <c r="V197" s="182"/>
      <c r="W197" s="182"/>
      <c r="X197" s="182"/>
      <c r="Y197" s="182"/>
      <c r="Z197" s="182"/>
      <c r="AA197" s="182"/>
      <c r="AB197" s="182"/>
      <c r="AC197" s="182"/>
      <c r="AD197" s="196"/>
      <c r="AE197" s="196"/>
      <c r="AF197" s="196"/>
      <c r="AG197" s="182"/>
      <c r="AH197" s="247"/>
      <c r="AI197" s="247"/>
      <c r="AJ197" s="182"/>
      <c r="AK197" s="182"/>
      <c r="AL197" s="182"/>
      <c r="AM197" s="36"/>
      <c r="AN197" s="36"/>
      <c r="AO197" s="36"/>
      <c r="AP197" s="36"/>
    </row>
    <row r="198" spans="1:42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247"/>
      <c r="AI198" s="247"/>
      <c r="AJ198" s="182"/>
      <c r="AK198" s="182"/>
      <c r="AL198" s="182"/>
      <c r="AM198" s="36"/>
      <c r="AN198" s="36"/>
      <c r="AO198" s="36"/>
      <c r="AP198" s="36"/>
    </row>
    <row r="199" spans="1:42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82"/>
      <c r="V199" s="182"/>
      <c r="W199" s="182"/>
      <c r="X199" s="182"/>
      <c r="Y199" s="182"/>
      <c r="Z199" s="182"/>
      <c r="AA199" s="182"/>
      <c r="AB199" s="182"/>
      <c r="AC199" s="182"/>
      <c r="AD199" s="196"/>
      <c r="AE199" s="196"/>
      <c r="AF199" s="196"/>
      <c r="AG199" s="182"/>
      <c r="AH199" s="247"/>
      <c r="AI199" s="247"/>
      <c r="AJ199" s="182"/>
      <c r="AK199" s="182"/>
      <c r="AL199" s="182"/>
      <c r="AM199" s="36"/>
      <c r="AN199" s="36"/>
      <c r="AO199" s="36"/>
      <c r="AP199" s="36"/>
    </row>
    <row r="200" spans="1:42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82"/>
      <c r="V200" s="182"/>
      <c r="W200" s="182"/>
      <c r="X200" s="182"/>
      <c r="Y200" s="182"/>
      <c r="Z200" s="182"/>
      <c r="AA200" s="182"/>
      <c r="AB200" s="182"/>
      <c r="AC200" s="182"/>
      <c r="AD200" s="182"/>
      <c r="AE200" s="182"/>
      <c r="AF200" s="182"/>
      <c r="AG200" s="182"/>
      <c r="AH200" s="247"/>
      <c r="AI200" s="247"/>
      <c r="AJ200" s="182"/>
      <c r="AK200" s="182"/>
      <c r="AL200" s="182"/>
      <c r="AM200" s="36"/>
      <c r="AN200" s="36"/>
      <c r="AO200" s="36"/>
      <c r="AP200" s="36"/>
    </row>
    <row r="201" spans="1:42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82"/>
      <c r="V201" s="182"/>
      <c r="W201" s="182"/>
      <c r="X201" s="182"/>
      <c r="Y201" s="182"/>
      <c r="Z201" s="182"/>
      <c r="AA201" s="182"/>
      <c r="AB201" s="182"/>
      <c r="AC201" s="182"/>
      <c r="AD201" s="182"/>
      <c r="AE201" s="182"/>
      <c r="AF201" s="182"/>
      <c r="AG201" s="182"/>
      <c r="AH201" s="247"/>
      <c r="AI201" s="247"/>
      <c r="AJ201" s="182"/>
      <c r="AK201" s="182"/>
      <c r="AL201" s="182"/>
      <c r="AM201" s="36"/>
      <c r="AN201" s="36"/>
      <c r="AO201" s="36"/>
      <c r="AP201" s="36"/>
    </row>
    <row r="202" spans="1:42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82"/>
      <c r="V202" s="182"/>
      <c r="W202" s="182"/>
      <c r="X202" s="182"/>
      <c r="Y202" s="182"/>
      <c r="Z202" s="182"/>
      <c r="AA202" s="182"/>
      <c r="AB202" s="182"/>
      <c r="AC202" s="182"/>
      <c r="AD202" s="182"/>
      <c r="AE202" s="182"/>
      <c r="AF202" s="182"/>
      <c r="AG202" s="182"/>
      <c r="AH202" s="247"/>
      <c r="AI202" s="247"/>
      <c r="AJ202" s="182"/>
      <c r="AK202" s="182"/>
      <c r="AL202" s="182"/>
      <c r="AM202" s="36"/>
      <c r="AN202" s="36"/>
      <c r="AO202" s="36"/>
      <c r="AP202" s="36"/>
    </row>
    <row r="203" spans="1:42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82"/>
      <c r="V203" s="182"/>
      <c r="W203" s="182"/>
      <c r="X203" s="240"/>
      <c r="Y203" s="247"/>
      <c r="Z203" s="240"/>
      <c r="AA203" s="247"/>
      <c r="AB203" s="240"/>
      <c r="AC203" s="182"/>
      <c r="AD203" s="182"/>
      <c r="AE203" s="182"/>
      <c r="AF203" s="182"/>
      <c r="AG203" s="182"/>
      <c r="AH203" s="247"/>
      <c r="AI203" s="247"/>
      <c r="AJ203" s="240"/>
      <c r="AK203" s="182"/>
      <c r="AL203" s="182"/>
      <c r="AM203" s="36"/>
      <c r="AN203" s="36"/>
      <c r="AO203" s="36"/>
      <c r="AP203" s="36"/>
    </row>
    <row r="204" spans="1:42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82"/>
      <c r="V204" s="182"/>
      <c r="W204" s="182"/>
      <c r="X204" s="182"/>
      <c r="Y204" s="182"/>
      <c r="Z204" s="182"/>
      <c r="AA204" s="182"/>
      <c r="AB204" s="182"/>
      <c r="AC204" s="182"/>
      <c r="AD204" s="182"/>
      <c r="AE204" s="182"/>
      <c r="AF204" s="182"/>
      <c r="AG204" s="182"/>
      <c r="AH204" s="247"/>
      <c r="AI204" s="247"/>
      <c r="AJ204" s="182"/>
      <c r="AK204" s="182"/>
      <c r="AL204" s="182"/>
      <c r="AM204" s="36"/>
      <c r="AN204" s="36"/>
      <c r="AO204" s="36"/>
      <c r="AP204" s="36"/>
    </row>
    <row r="205" spans="1:42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82"/>
      <c r="V205" s="182"/>
      <c r="W205" s="182"/>
      <c r="X205" s="182"/>
      <c r="Y205" s="182"/>
      <c r="Z205" s="182"/>
      <c r="AA205" s="182"/>
      <c r="AB205" s="182"/>
      <c r="AC205" s="182"/>
      <c r="AD205" s="182"/>
      <c r="AE205" s="182"/>
      <c r="AF205" s="182"/>
      <c r="AG205" s="182"/>
      <c r="AH205" s="247"/>
      <c r="AI205" s="247"/>
      <c r="AJ205" s="182"/>
      <c r="AK205" s="182"/>
      <c r="AL205" s="182"/>
      <c r="AM205" s="36"/>
      <c r="AN205" s="36"/>
      <c r="AO205" s="36"/>
      <c r="AP205" s="36"/>
    </row>
    <row r="206" spans="1:42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82"/>
      <c r="V206" s="182"/>
      <c r="W206" s="182"/>
      <c r="X206" s="182"/>
      <c r="Y206" s="182"/>
      <c r="Z206" s="182"/>
      <c r="AA206" s="182"/>
      <c r="AB206" s="182"/>
      <c r="AC206" s="182"/>
      <c r="AD206" s="182"/>
      <c r="AE206" s="182"/>
      <c r="AF206" s="182"/>
      <c r="AG206" s="182"/>
      <c r="AH206" s="247"/>
      <c r="AI206" s="247"/>
      <c r="AJ206" s="182"/>
      <c r="AK206" s="182"/>
      <c r="AL206" s="182"/>
      <c r="AM206" s="36"/>
      <c r="AN206" s="36"/>
      <c r="AO206" s="36"/>
      <c r="AP206" s="36"/>
    </row>
    <row r="207" spans="1:42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82"/>
      <c r="V207" s="182"/>
      <c r="W207" s="182"/>
      <c r="X207" s="182"/>
      <c r="Y207" s="182"/>
      <c r="Z207" s="182"/>
      <c r="AA207" s="182"/>
      <c r="AB207" s="182"/>
      <c r="AC207" s="182"/>
      <c r="AD207" s="182"/>
      <c r="AE207" s="182"/>
      <c r="AF207" s="182"/>
      <c r="AG207" s="182"/>
      <c r="AH207" s="247"/>
      <c r="AI207" s="247"/>
      <c r="AJ207" s="182"/>
      <c r="AK207" s="182"/>
      <c r="AL207" s="182"/>
      <c r="AM207" s="36"/>
      <c r="AN207" s="36"/>
      <c r="AO207" s="36"/>
      <c r="AP207" s="36"/>
    </row>
    <row r="208" spans="1:42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82"/>
      <c r="V208" s="182"/>
      <c r="W208" s="182"/>
      <c r="X208" s="182"/>
      <c r="Y208" s="182"/>
      <c r="Z208" s="182"/>
      <c r="AA208" s="182"/>
      <c r="AB208" s="182"/>
      <c r="AC208" s="182"/>
      <c r="AD208" s="182"/>
      <c r="AE208" s="182"/>
      <c r="AF208" s="182"/>
      <c r="AG208" s="182"/>
      <c r="AH208" s="247"/>
      <c r="AI208" s="247"/>
      <c r="AJ208" s="182"/>
      <c r="AK208" s="182"/>
      <c r="AL208" s="182"/>
      <c r="AM208" s="36"/>
      <c r="AN208" s="36"/>
      <c r="AO208" s="36"/>
      <c r="AP208" s="36"/>
    </row>
    <row r="209" spans="1:42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82"/>
      <c r="V209" s="182"/>
      <c r="W209" s="182"/>
      <c r="X209" s="182"/>
      <c r="Y209" s="182"/>
      <c r="Z209" s="182"/>
      <c r="AA209" s="182"/>
      <c r="AB209" s="182"/>
      <c r="AC209" s="182"/>
      <c r="AD209" s="182"/>
      <c r="AE209" s="182"/>
      <c r="AF209" s="182"/>
      <c r="AG209" s="182"/>
      <c r="AH209" s="247"/>
      <c r="AI209" s="247"/>
      <c r="AJ209" s="182"/>
      <c r="AK209" s="182"/>
      <c r="AL209" s="182"/>
      <c r="AM209" s="36"/>
      <c r="AN209" s="36"/>
      <c r="AO209" s="36"/>
      <c r="AP209" s="36"/>
    </row>
    <row r="210" spans="1:42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82"/>
      <c r="V210" s="182"/>
      <c r="W210" s="182"/>
      <c r="X210" s="182"/>
      <c r="Y210" s="182"/>
      <c r="Z210" s="182"/>
      <c r="AA210" s="182"/>
      <c r="AB210" s="182"/>
      <c r="AC210" s="182"/>
      <c r="AD210" s="182"/>
      <c r="AE210" s="182"/>
      <c r="AF210" s="182"/>
      <c r="AG210" s="182"/>
      <c r="AH210" s="247"/>
      <c r="AI210" s="247"/>
      <c r="AJ210" s="182"/>
      <c r="AK210" s="182"/>
      <c r="AL210" s="182"/>
      <c r="AM210" s="36"/>
      <c r="AN210" s="36"/>
      <c r="AO210" s="36"/>
      <c r="AP210" s="36"/>
    </row>
    <row r="211" spans="1:42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82"/>
      <c r="V211" s="182"/>
      <c r="W211" s="182"/>
      <c r="X211" s="182"/>
      <c r="Y211" s="182"/>
      <c r="Z211" s="182"/>
      <c r="AA211" s="182"/>
      <c r="AB211" s="182"/>
      <c r="AC211" s="182"/>
      <c r="AD211" s="182"/>
      <c r="AE211" s="182"/>
      <c r="AF211" s="182"/>
      <c r="AG211" s="182"/>
      <c r="AH211" s="247"/>
      <c r="AI211" s="247"/>
      <c r="AJ211" s="249"/>
      <c r="AK211" s="182"/>
      <c r="AL211" s="182"/>
      <c r="AM211" s="36"/>
      <c r="AN211" s="36"/>
      <c r="AO211" s="36"/>
      <c r="AP211" s="36"/>
    </row>
    <row r="212" spans="1:42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82"/>
      <c r="V212" s="182"/>
      <c r="W212" s="182"/>
      <c r="X212" s="182"/>
      <c r="Y212" s="182"/>
      <c r="Z212" s="182"/>
      <c r="AA212" s="182"/>
      <c r="AB212" s="182"/>
      <c r="AC212" s="182"/>
      <c r="AD212" s="182"/>
      <c r="AE212" s="182"/>
      <c r="AF212" s="182"/>
      <c r="AG212" s="182"/>
      <c r="AH212" s="247"/>
      <c r="AI212" s="247"/>
      <c r="AJ212" s="182"/>
      <c r="AK212" s="182"/>
      <c r="AL212" s="182"/>
      <c r="AM212" s="36"/>
      <c r="AN212" s="36"/>
      <c r="AO212" s="36"/>
      <c r="AP212" s="36"/>
    </row>
    <row r="213" spans="1:42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82"/>
      <c r="V213" s="182"/>
      <c r="W213" s="182"/>
      <c r="X213" s="182"/>
      <c r="Y213" s="182"/>
      <c r="Z213" s="182"/>
      <c r="AA213" s="182"/>
      <c r="AB213" s="182"/>
      <c r="AC213" s="182"/>
      <c r="AD213" s="182"/>
      <c r="AE213" s="182"/>
      <c r="AF213" s="182"/>
      <c r="AG213" s="182"/>
      <c r="AH213" s="247"/>
      <c r="AI213" s="247"/>
      <c r="AJ213" s="182"/>
      <c r="AK213" s="182"/>
      <c r="AL213" s="182"/>
      <c r="AM213" s="36"/>
      <c r="AN213" s="36"/>
      <c r="AO213" s="36"/>
      <c r="AP213" s="36"/>
    </row>
    <row r="214" spans="1:42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250"/>
      <c r="V214" s="251"/>
      <c r="W214" s="251"/>
      <c r="X214" s="251"/>
      <c r="Y214" s="251"/>
      <c r="Z214" s="251"/>
      <c r="AA214" s="251"/>
      <c r="AB214" s="251"/>
      <c r="AC214" s="251"/>
      <c r="AD214" s="251"/>
      <c r="AE214" s="251"/>
      <c r="AF214" s="251"/>
      <c r="AG214" s="251"/>
      <c r="AH214" s="252"/>
      <c r="AI214" s="252"/>
      <c r="AJ214" s="251"/>
      <c r="AK214" s="182"/>
      <c r="AL214" s="182"/>
      <c r="AM214" s="36"/>
      <c r="AN214" s="36"/>
      <c r="AO214" s="36"/>
      <c r="AP214" s="36"/>
    </row>
    <row r="215" spans="1:42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251"/>
      <c r="V215" s="251"/>
      <c r="W215" s="251"/>
      <c r="X215" s="251"/>
      <c r="Y215" s="251"/>
      <c r="Z215" s="251"/>
      <c r="AA215" s="251"/>
      <c r="AB215" s="251"/>
      <c r="AC215" s="251"/>
      <c r="AD215" s="251"/>
      <c r="AE215" s="251"/>
      <c r="AF215" s="251"/>
      <c r="AG215" s="251"/>
      <c r="AH215" s="252"/>
      <c r="AI215" s="252"/>
      <c r="AJ215" s="251"/>
      <c r="AK215" s="182"/>
      <c r="AL215" s="182"/>
      <c r="AM215" s="36"/>
      <c r="AN215" s="36"/>
      <c r="AO215" s="36"/>
      <c r="AP215" s="36"/>
    </row>
    <row r="216" spans="1:42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2"/>
      <c r="AI216" s="252"/>
      <c r="AJ216" s="251"/>
      <c r="AK216" s="182"/>
      <c r="AL216" s="182"/>
      <c r="AM216" s="36"/>
      <c r="AN216" s="36"/>
      <c r="AO216" s="36"/>
      <c r="AP216" s="36"/>
    </row>
    <row r="217" spans="1:42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255"/>
      <c r="V217" s="251"/>
      <c r="W217" s="251"/>
      <c r="X217" s="251"/>
      <c r="Y217" s="251"/>
      <c r="Z217" s="251"/>
      <c r="AA217" s="251"/>
      <c r="AB217" s="251"/>
      <c r="AC217" s="251"/>
      <c r="AD217" s="251"/>
      <c r="AE217" s="251"/>
      <c r="AF217" s="251"/>
      <c r="AG217" s="251"/>
      <c r="AH217" s="252"/>
      <c r="AI217" s="252"/>
      <c r="AJ217" s="251"/>
      <c r="AK217" s="182"/>
      <c r="AL217" s="182"/>
      <c r="AM217" s="36"/>
      <c r="AN217" s="36"/>
      <c r="AO217" s="36"/>
      <c r="AP217" s="36"/>
    </row>
    <row r="218" spans="1:42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247"/>
      <c r="AI218" s="247"/>
      <c r="AJ218" s="182"/>
      <c r="AK218" s="182"/>
      <c r="AL218" s="182"/>
      <c r="AM218" s="36"/>
      <c r="AN218" s="36"/>
      <c r="AO218" s="36"/>
      <c r="AP218" s="36"/>
    </row>
    <row r="219" spans="1:42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82"/>
      <c r="V219" s="182"/>
      <c r="W219" s="182"/>
      <c r="X219" s="253"/>
      <c r="Y219" s="182"/>
      <c r="Z219" s="182"/>
      <c r="AA219" s="182"/>
      <c r="AB219" s="253"/>
      <c r="AC219" s="182"/>
      <c r="AD219" s="253"/>
      <c r="AE219" s="253"/>
      <c r="AF219" s="253"/>
      <c r="AG219" s="182"/>
      <c r="AH219" s="247"/>
      <c r="AI219" s="247"/>
      <c r="AJ219" s="182"/>
      <c r="AK219" s="182"/>
      <c r="AL219" s="182"/>
      <c r="AM219" s="36"/>
      <c r="AN219" s="36"/>
      <c r="AO219" s="36"/>
      <c r="AP219" s="36"/>
    </row>
    <row r="220" spans="1:42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82"/>
      <c r="V220" s="182"/>
      <c r="W220" s="182"/>
      <c r="X220" s="253"/>
      <c r="Y220" s="182"/>
      <c r="Z220" s="253"/>
      <c r="AA220" s="182"/>
      <c r="AB220" s="253"/>
      <c r="AC220" s="182"/>
      <c r="AD220" s="253"/>
      <c r="AE220" s="253"/>
      <c r="AF220" s="253"/>
      <c r="AG220" s="182"/>
      <c r="AH220" s="247"/>
      <c r="AI220" s="247"/>
      <c r="AJ220" s="253"/>
      <c r="AK220" s="182"/>
      <c r="AL220" s="182"/>
      <c r="AM220" s="36"/>
      <c r="AN220" s="36"/>
      <c r="AO220" s="36"/>
      <c r="AP220" s="36"/>
    </row>
    <row r="221" spans="1:42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251"/>
      <c r="V221" s="251"/>
      <c r="W221" s="182"/>
      <c r="X221" s="253"/>
      <c r="Y221" s="182"/>
      <c r="Z221" s="253"/>
      <c r="AA221" s="182"/>
      <c r="AB221" s="253"/>
      <c r="AC221" s="182"/>
      <c r="AD221" s="253"/>
      <c r="AE221" s="253"/>
      <c r="AF221" s="253"/>
      <c r="AG221" s="182"/>
      <c r="AH221" s="247"/>
      <c r="AI221" s="247"/>
      <c r="AJ221" s="253"/>
      <c r="AK221" s="182"/>
      <c r="AL221" s="182"/>
      <c r="AM221" s="36"/>
      <c r="AN221" s="36"/>
      <c r="AO221" s="36"/>
      <c r="AP221" s="36"/>
    </row>
    <row r="222" spans="1:42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251"/>
      <c r="V222" s="251"/>
      <c r="W222" s="182"/>
      <c r="X222" s="253"/>
      <c r="Y222" s="182"/>
      <c r="Z222" s="253"/>
      <c r="AA222" s="182"/>
      <c r="AB222" s="253"/>
      <c r="AC222" s="182"/>
      <c r="AD222" s="253"/>
      <c r="AE222" s="253"/>
      <c r="AF222" s="253"/>
      <c r="AG222" s="182"/>
      <c r="AH222" s="247"/>
      <c r="AI222" s="247"/>
      <c r="AJ222" s="253"/>
      <c r="AK222" s="182"/>
      <c r="AL222" s="182"/>
      <c r="AM222" s="36"/>
      <c r="AN222" s="36"/>
      <c r="AO222" s="36"/>
      <c r="AP222" s="36"/>
    </row>
    <row r="223" spans="1:42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247"/>
      <c r="AI223" s="247"/>
      <c r="AJ223" s="182"/>
      <c r="AK223" s="182"/>
      <c r="AL223" s="182"/>
      <c r="AM223" s="36"/>
      <c r="AN223" s="36"/>
      <c r="AO223" s="36"/>
      <c r="AP223" s="36"/>
    </row>
    <row r="224" spans="1:42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256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247"/>
      <c r="AI224" s="247"/>
      <c r="AJ224" s="182"/>
      <c r="AK224" s="182"/>
      <c r="AL224" s="182"/>
      <c r="AM224" s="36"/>
      <c r="AN224" s="36"/>
      <c r="AO224" s="36"/>
      <c r="AP224" s="36"/>
    </row>
    <row r="225" spans="1:42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82"/>
      <c r="V225" s="182"/>
      <c r="W225" s="182"/>
      <c r="X225" s="247"/>
      <c r="Y225" s="182"/>
      <c r="Z225" s="247"/>
      <c r="AA225" s="182"/>
      <c r="AB225" s="182"/>
      <c r="AC225" s="182"/>
      <c r="AD225" s="182"/>
      <c r="AE225" s="182"/>
      <c r="AF225" s="182"/>
      <c r="AG225" s="182"/>
      <c r="AH225" s="247"/>
      <c r="AI225" s="247"/>
      <c r="AJ225" s="182"/>
      <c r="AK225" s="182"/>
      <c r="AL225" s="182"/>
      <c r="AM225" s="36"/>
      <c r="AN225" s="36"/>
      <c r="AO225" s="36"/>
      <c r="AP225" s="36"/>
    </row>
    <row r="226" spans="1:42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82"/>
      <c r="V226" s="182"/>
      <c r="W226" s="182"/>
      <c r="X226" s="182"/>
      <c r="Y226" s="182"/>
      <c r="Z226" s="182"/>
      <c r="AA226" s="182"/>
      <c r="AB226" s="247"/>
      <c r="AC226" s="182"/>
      <c r="AD226" s="182"/>
      <c r="AE226" s="182"/>
      <c r="AF226" s="182"/>
      <c r="AG226" s="182"/>
      <c r="AH226" s="247"/>
      <c r="AI226" s="247"/>
      <c r="AJ226" s="182"/>
      <c r="AK226" s="182"/>
      <c r="AL226" s="182"/>
      <c r="AM226" s="36"/>
      <c r="AN226" s="36"/>
      <c r="AO226" s="36"/>
      <c r="AP226" s="36"/>
    </row>
    <row r="227" spans="1:42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82"/>
      <c r="V227" s="182"/>
      <c r="W227" s="182"/>
      <c r="X227" s="182"/>
      <c r="Y227" s="182"/>
      <c r="Z227" s="182"/>
      <c r="AA227" s="182"/>
      <c r="AB227" s="247"/>
      <c r="AC227" s="182"/>
      <c r="AD227" s="247"/>
      <c r="AE227" s="247"/>
      <c r="AF227" s="247"/>
      <c r="AG227" s="182"/>
      <c r="AH227" s="247"/>
      <c r="AI227" s="247"/>
      <c r="AJ227" s="182"/>
      <c r="AK227" s="182"/>
      <c r="AL227" s="182"/>
      <c r="AM227" s="36"/>
      <c r="AN227" s="36"/>
      <c r="AO227" s="36"/>
      <c r="AP227" s="36"/>
    </row>
    <row r="228" spans="1:42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82"/>
      <c r="V228" s="182"/>
      <c r="W228" s="182"/>
      <c r="X228" s="182"/>
      <c r="Y228" s="182"/>
      <c r="Z228" s="182"/>
      <c r="AA228" s="182"/>
      <c r="AB228" s="182"/>
      <c r="AC228" s="182"/>
      <c r="AD228" s="182"/>
      <c r="AE228" s="182"/>
      <c r="AF228" s="182"/>
      <c r="AG228" s="182"/>
      <c r="AH228" s="247"/>
      <c r="AI228" s="247"/>
      <c r="AJ228" s="247"/>
      <c r="AK228" s="182"/>
      <c r="AL228" s="182"/>
      <c r="AM228" s="36"/>
      <c r="AN228" s="36"/>
      <c r="AO228" s="36"/>
      <c r="AP228" s="36"/>
    </row>
    <row r="229" spans="1:42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82"/>
      <c r="V229" s="182"/>
      <c r="W229" s="182"/>
      <c r="X229" s="182"/>
      <c r="Y229" s="182"/>
      <c r="Z229" s="182"/>
      <c r="AA229" s="182"/>
      <c r="AB229" s="182"/>
      <c r="AC229" s="182"/>
      <c r="AD229" s="182"/>
      <c r="AE229" s="182"/>
      <c r="AF229" s="182"/>
      <c r="AG229" s="182"/>
      <c r="AH229" s="247"/>
      <c r="AI229" s="247"/>
      <c r="AJ229" s="182"/>
      <c r="AK229" s="182"/>
      <c r="AL229" s="182"/>
      <c r="AM229" s="36"/>
      <c r="AN229" s="36"/>
      <c r="AO229" s="36"/>
      <c r="AP229" s="36"/>
    </row>
    <row r="230" spans="1:42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82"/>
      <c r="V230" s="182"/>
      <c r="W230" s="182"/>
      <c r="X230" s="182"/>
      <c r="Y230" s="182"/>
      <c r="Z230" s="182"/>
      <c r="AA230" s="182"/>
      <c r="AB230" s="182"/>
      <c r="AC230" s="182"/>
      <c r="AD230" s="182"/>
      <c r="AE230" s="182"/>
      <c r="AF230" s="182"/>
      <c r="AG230" s="182"/>
      <c r="AH230" s="247"/>
      <c r="AI230" s="247"/>
      <c r="AJ230" s="182"/>
      <c r="AK230" s="182"/>
      <c r="AL230" s="182"/>
      <c r="AM230" s="36"/>
      <c r="AN230" s="36"/>
      <c r="AO230" s="36"/>
      <c r="AP230" s="36"/>
    </row>
    <row r="231" spans="1:42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256"/>
      <c r="V231" s="182"/>
      <c r="W231" s="182"/>
      <c r="X231" s="182"/>
      <c r="Y231" s="182"/>
      <c r="Z231" s="182"/>
      <c r="AA231" s="182"/>
      <c r="AB231" s="182"/>
      <c r="AC231" s="182"/>
      <c r="AD231" s="182"/>
      <c r="AE231" s="182"/>
      <c r="AF231" s="182"/>
      <c r="AG231" s="182"/>
      <c r="AH231" s="247"/>
      <c r="AI231" s="247"/>
      <c r="AJ231" s="182"/>
      <c r="AK231" s="182"/>
      <c r="AL231" s="182"/>
      <c r="AM231" s="36"/>
      <c r="AN231" s="36"/>
      <c r="AO231" s="36"/>
      <c r="AP231" s="36"/>
    </row>
    <row r="232" spans="1:42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82"/>
      <c r="V232" s="182"/>
      <c r="W232" s="182"/>
      <c r="X232" s="182"/>
      <c r="Y232" s="182"/>
      <c r="Z232" s="182"/>
      <c r="AA232" s="182"/>
      <c r="AB232" s="182"/>
      <c r="AC232" s="182"/>
      <c r="AD232" s="182"/>
      <c r="AE232" s="182"/>
      <c r="AF232" s="182"/>
      <c r="AG232" s="182"/>
      <c r="AH232" s="247"/>
      <c r="AI232" s="247"/>
      <c r="AJ232" s="182"/>
      <c r="AK232" s="182"/>
      <c r="AL232" s="182"/>
      <c r="AM232" s="36"/>
      <c r="AN232" s="36"/>
      <c r="AO232" s="36"/>
      <c r="AP232" s="36"/>
    </row>
    <row r="233" spans="1:42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82"/>
      <c r="V233" s="182"/>
      <c r="W233" s="182"/>
      <c r="X233" s="182"/>
      <c r="Y233" s="182"/>
      <c r="Z233" s="182"/>
      <c r="AA233" s="182"/>
      <c r="AB233" s="182"/>
      <c r="AC233" s="182"/>
      <c r="AD233" s="182"/>
      <c r="AE233" s="182"/>
      <c r="AF233" s="182"/>
      <c r="AG233" s="182"/>
      <c r="AH233" s="247"/>
      <c r="AI233" s="247"/>
      <c r="AJ233" s="182"/>
      <c r="AK233" s="182"/>
      <c r="AL233" s="182"/>
      <c r="AM233" s="36"/>
      <c r="AN233" s="36"/>
      <c r="AO233" s="36"/>
      <c r="AP233" s="36"/>
    </row>
    <row r="234" spans="1:42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82"/>
      <c r="V234" s="182"/>
      <c r="W234" s="182"/>
      <c r="X234" s="182"/>
      <c r="Y234" s="182"/>
      <c r="Z234" s="182"/>
      <c r="AA234" s="182"/>
      <c r="AB234" s="182"/>
      <c r="AC234" s="182"/>
      <c r="AD234" s="182"/>
      <c r="AE234" s="182"/>
      <c r="AF234" s="182"/>
      <c r="AG234" s="182"/>
      <c r="AH234" s="247"/>
      <c r="AI234" s="247"/>
      <c r="AJ234" s="182"/>
      <c r="AK234" s="182"/>
      <c r="AL234" s="182"/>
      <c r="AM234" s="36"/>
      <c r="AN234" s="36"/>
      <c r="AO234" s="36"/>
      <c r="AP234" s="36"/>
    </row>
    <row r="235" spans="1:42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82"/>
      <c r="V235" s="182"/>
      <c r="W235" s="182"/>
      <c r="X235" s="182"/>
      <c r="Y235" s="182"/>
      <c r="Z235" s="182"/>
      <c r="AA235" s="182"/>
      <c r="AB235" s="182"/>
      <c r="AC235" s="182"/>
      <c r="AD235" s="182"/>
      <c r="AE235" s="182"/>
      <c r="AF235" s="182"/>
      <c r="AG235" s="182"/>
      <c r="AH235" s="247"/>
      <c r="AI235" s="247"/>
      <c r="AJ235" s="182"/>
      <c r="AK235" s="182"/>
      <c r="AL235" s="182"/>
      <c r="AM235" s="36"/>
      <c r="AN235" s="36"/>
      <c r="AO235" s="36"/>
      <c r="AP235" s="36"/>
    </row>
    <row r="236" spans="1:42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82"/>
      <c r="V236" s="182"/>
      <c r="W236" s="182"/>
      <c r="X236" s="182"/>
      <c r="Y236" s="182"/>
      <c r="Z236" s="182"/>
      <c r="AA236" s="182"/>
      <c r="AB236" s="182"/>
      <c r="AC236" s="182"/>
      <c r="AD236" s="182"/>
      <c r="AE236" s="182"/>
      <c r="AF236" s="182"/>
      <c r="AG236" s="182"/>
      <c r="AH236" s="247"/>
      <c r="AI236" s="247"/>
      <c r="AJ236" s="182"/>
      <c r="AK236" s="182"/>
      <c r="AL236" s="182"/>
      <c r="AM236" s="36"/>
      <c r="AN236" s="36"/>
      <c r="AO236" s="36"/>
      <c r="AP236" s="36"/>
    </row>
    <row r="237" spans="1:42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82"/>
      <c r="V237" s="182"/>
      <c r="W237" s="182"/>
      <c r="X237" s="182"/>
      <c r="Y237" s="182"/>
      <c r="Z237" s="182"/>
      <c r="AA237" s="182"/>
      <c r="AB237" s="182"/>
      <c r="AC237" s="182"/>
      <c r="AD237" s="182"/>
      <c r="AE237" s="182"/>
      <c r="AF237" s="182"/>
      <c r="AG237" s="182"/>
      <c r="AH237" s="247"/>
      <c r="AI237" s="247"/>
      <c r="AJ237" s="182"/>
      <c r="AK237" s="182"/>
      <c r="AL237" s="182"/>
      <c r="AM237" s="36"/>
      <c r="AN237" s="36"/>
      <c r="AO237" s="36"/>
      <c r="AP237" s="36"/>
    </row>
    <row r="238" spans="1:42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82"/>
      <c r="V238" s="182"/>
      <c r="W238" s="182"/>
      <c r="X238" s="182"/>
      <c r="Y238" s="182"/>
      <c r="Z238" s="182"/>
      <c r="AA238" s="182"/>
      <c r="AB238" s="182"/>
      <c r="AC238" s="182"/>
      <c r="AD238" s="182"/>
      <c r="AE238" s="182"/>
      <c r="AF238" s="182"/>
      <c r="AG238" s="182"/>
      <c r="AH238" s="247"/>
      <c r="AI238" s="247"/>
      <c r="AJ238" s="182"/>
      <c r="AK238" s="182"/>
      <c r="AL238" s="182"/>
      <c r="AM238" s="36"/>
      <c r="AN238" s="36"/>
      <c r="AO238" s="36"/>
      <c r="AP238" s="36"/>
    </row>
    <row r="239" spans="1:42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82"/>
      <c r="V239" s="182"/>
      <c r="W239" s="182"/>
      <c r="X239" s="182"/>
      <c r="Y239" s="182"/>
      <c r="Z239" s="182"/>
      <c r="AA239" s="182"/>
      <c r="AB239" s="182"/>
      <c r="AC239" s="182"/>
      <c r="AD239" s="182"/>
      <c r="AE239" s="182"/>
      <c r="AF239" s="182"/>
      <c r="AG239" s="182"/>
      <c r="AH239" s="247"/>
      <c r="AI239" s="247"/>
      <c r="AJ239" s="182"/>
      <c r="AK239" s="182"/>
      <c r="AL239" s="182"/>
      <c r="AM239" s="36"/>
      <c r="AN239" s="36"/>
      <c r="AO239" s="36"/>
      <c r="AP239" s="36"/>
    </row>
    <row r="240" spans="1:42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82"/>
      <c r="V240" s="182"/>
      <c r="W240" s="182"/>
      <c r="X240" s="182"/>
      <c r="Y240" s="182"/>
      <c r="Z240" s="182"/>
      <c r="AA240" s="182"/>
      <c r="AB240" s="182"/>
      <c r="AC240" s="182"/>
      <c r="AD240" s="182"/>
      <c r="AE240" s="182"/>
      <c r="AF240" s="182"/>
      <c r="AG240" s="182"/>
      <c r="AH240" s="247"/>
      <c r="AI240" s="247"/>
      <c r="AJ240" s="182"/>
      <c r="AK240" s="182"/>
      <c r="AL240" s="182"/>
      <c r="AM240" s="36"/>
      <c r="AN240" s="36"/>
      <c r="AO240" s="36"/>
      <c r="AP240" s="36"/>
    </row>
    <row r="241" spans="1:42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247"/>
      <c r="AI241" s="247"/>
      <c r="AJ241" s="182"/>
      <c r="AK241" s="182"/>
      <c r="AL241" s="182"/>
      <c r="AM241" s="36"/>
      <c r="AN241" s="36"/>
      <c r="AO241" s="36"/>
      <c r="AP241" s="36"/>
    </row>
    <row r="242" spans="1:42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82"/>
      <c r="V242" s="182"/>
      <c r="W242" s="182"/>
      <c r="X242" s="182"/>
      <c r="Y242" s="182"/>
      <c r="Z242" s="182"/>
      <c r="AA242" s="182"/>
      <c r="AB242" s="182"/>
      <c r="AC242" s="182"/>
      <c r="AD242" s="182"/>
      <c r="AE242" s="182"/>
      <c r="AF242" s="182"/>
      <c r="AG242" s="182"/>
      <c r="AH242" s="247"/>
      <c r="AI242" s="247"/>
      <c r="AJ242" s="182"/>
      <c r="AK242" s="182"/>
      <c r="AL242" s="182"/>
      <c r="AM242" s="36"/>
      <c r="AN242" s="36"/>
      <c r="AO242" s="36"/>
      <c r="AP242" s="36"/>
    </row>
    <row r="243" spans="1:42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247"/>
      <c r="AI243" s="247"/>
      <c r="AJ243" s="182"/>
      <c r="AK243" s="182"/>
      <c r="AL243" s="182"/>
      <c r="AM243" s="36"/>
      <c r="AN243" s="36"/>
      <c r="AO243" s="36"/>
      <c r="AP243" s="36"/>
    </row>
    <row r="244" spans="1:42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82"/>
      <c r="V244" s="182"/>
      <c r="W244" s="182"/>
      <c r="X244" s="240"/>
      <c r="Y244" s="182"/>
      <c r="Z244" s="240"/>
      <c r="AA244" s="182"/>
      <c r="AB244" s="240"/>
      <c r="AC244" s="182"/>
      <c r="AD244" s="240"/>
      <c r="AE244" s="240"/>
      <c r="AF244" s="240"/>
      <c r="AG244" s="182"/>
      <c r="AH244" s="247"/>
      <c r="AI244" s="247"/>
      <c r="AJ244" s="240"/>
      <c r="AK244" s="182"/>
      <c r="AL244" s="182"/>
      <c r="AM244" s="36"/>
      <c r="AN244" s="36"/>
      <c r="AO244" s="36"/>
      <c r="AP244" s="36"/>
    </row>
    <row r="245" spans="1:42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247"/>
      <c r="AI245" s="247"/>
      <c r="AJ245" s="182"/>
      <c r="AK245" s="182"/>
      <c r="AL245" s="182"/>
      <c r="AM245" s="36"/>
      <c r="AN245" s="36"/>
      <c r="AO245" s="36"/>
      <c r="AP245" s="36"/>
    </row>
    <row r="246" spans="1:42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247"/>
      <c r="AI246" s="247"/>
      <c r="AJ246" s="182"/>
      <c r="AK246" s="182"/>
      <c r="AL246" s="182"/>
      <c r="AM246" s="36"/>
      <c r="AN246" s="36"/>
      <c r="AO246" s="36"/>
      <c r="AP246" s="36"/>
    </row>
    <row r="247" spans="1:42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247"/>
      <c r="AI247" s="247"/>
      <c r="AJ247" s="182"/>
      <c r="AK247" s="182"/>
      <c r="AL247" s="182"/>
      <c r="AM247" s="36"/>
      <c r="AN247" s="36"/>
      <c r="AO247" s="36"/>
      <c r="AP247" s="36"/>
    </row>
    <row r="248" spans="1:42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82"/>
      <c r="V248" s="182"/>
      <c r="W248" s="182"/>
      <c r="X248" s="182"/>
      <c r="Y248" s="182"/>
      <c r="Z248" s="182"/>
      <c r="AA248" s="182"/>
      <c r="AB248" s="182"/>
      <c r="AC248" s="182"/>
      <c r="AD248" s="182"/>
      <c r="AE248" s="182"/>
      <c r="AF248" s="182"/>
      <c r="AG248" s="182"/>
      <c r="AH248" s="247"/>
      <c r="AI248" s="247"/>
      <c r="AJ248" s="182"/>
      <c r="AK248" s="182"/>
      <c r="AL248" s="182"/>
      <c r="AM248" s="36"/>
      <c r="AN248" s="36"/>
      <c r="AO248" s="36"/>
      <c r="AP248" s="36"/>
    </row>
    <row r="249" spans="1:42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82"/>
      <c r="V249" s="182"/>
      <c r="W249" s="182"/>
      <c r="X249" s="182"/>
      <c r="Y249" s="182"/>
      <c r="Z249" s="182"/>
      <c r="AA249" s="182"/>
      <c r="AB249" s="182"/>
      <c r="AC249" s="182"/>
      <c r="AD249" s="182"/>
      <c r="AE249" s="182"/>
      <c r="AF249" s="182"/>
      <c r="AG249" s="182"/>
      <c r="AH249" s="247"/>
      <c r="AI249" s="247"/>
      <c r="AJ249" s="182"/>
      <c r="AK249" s="182"/>
      <c r="AL249" s="182"/>
      <c r="AM249" s="36"/>
      <c r="AN249" s="36"/>
      <c r="AO249" s="36"/>
      <c r="AP249" s="36"/>
    </row>
    <row r="250" spans="1:42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82"/>
      <c r="V250" s="182"/>
      <c r="W250" s="182"/>
      <c r="X250" s="182"/>
      <c r="Y250" s="182"/>
      <c r="Z250" s="182"/>
      <c r="AA250" s="182"/>
      <c r="AB250" s="182"/>
      <c r="AC250" s="182"/>
      <c r="AD250" s="182"/>
      <c r="AE250" s="182"/>
      <c r="AF250" s="182"/>
      <c r="AG250" s="182"/>
      <c r="AH250" s="247"/>
      <c r="AI250" s="247"/>
      <c r="AJ250" s="182"/>
      <c r="AK250" s="182"/>
      <c r="AL250" s="182"/>
      <c r="AM250" s="36"/>
      <c r="AN250" s="36"/>
      <c r="AO250" s="36"/>
      <c r="AP250" s="36"/>
    </row>
    <row r="251" spans="1:42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82"/>
      <c r="V251" s="182"/>
      <c r="W251" s="182"/>
      <c r="X251" s="182"/>
      <c r="Y251" s="182"/>
      <c r="Z251" s="182"/>
      <c r="AA251" s="182"/>
      <c r="AB251" s="182"/>
      <c r="AC251" s="182"/>
      <c r="AD251" s="182"/>
      <c r="AE251" s="182"/>
      <c r="AF251" s="182"/>
      <c r="AG251" s="182"/>
      <c r="AH251" s="247"/>
      <c r="AI251" s="247"/>
      <c r="AJ251" s="182"/>
      <c r="AK251" s="182"/>
      <c r="AL251" s="182"/>
      <c r="AM251" s="36"/>
      <c r="AN251" s="36"/>
      <c r="AO251" s="36"/>
      <c r="AP251" s="36"/>
    </row>
    <row r="252" spans="1:42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82"/>
      <c r="V252" s="182"/>
      <c r="W252" s="182"/>
      <c r="X252" s="182"/>
      <c r="Y252" s="182"/>
      <c r="Z252" s="182"/>
      <c r="AA252" s="182"/>
      <c r="AB252" s="182"/>
      <c r="AC252" s="182"/>
      <c r="AD252" s="182"/>
      <c r="AE252" s="182"/>
      <c r="AF252" s="182"/>
      <c r="AG252" s="182"/>
      <c r="AH252" s="247"/>
      <c r="AI252" s="247"/>
      <c r="AJ252" s="182"/>
      <c r="AK252" s="182"/>
      <c r="AL252" s="182"/>
      <c r="AM252" s="36"/>
      <c r="AN252" s="36"/>
      <c r="AO252" s="36"/>
      <c r="AP252" s="36"/>
    </row>
    <row r="253" spans="1:42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82"/>
      <c r="V253" s="182"/>
      <c r="W253" s="182"/>
      <c r="X253" s="182"/>
      <c r="Y253" s="182"/>
      <c r="Z253" s="182"/>
      <c r="AA253" s="182"/>
      <c r="AB253" s="182"/>
      <c r="AC253" s="182"/>
      <c r="AD253" s="182"/>
      <c r="AE253" s="182"/>
      <c r="AF253" s="182"/>
      <c r="AG253" s="182"/>
      <c r="AH253" s="247"/>
      <c r="AI253" s="247"/>
      <c r="AJ253" s="182"/>
      <c r="AK253" s="182"/>
      <c r="AL253" s="182"/>
      <c r="AM253" s="36"/>
      <c r="AN253" s="36"/>
      <c r="AO253" s="36"/>
      <c r="AP253" s="36"/>
    </row>
    <row r="254" spans="1:42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82"/>
      <c r="V254" s="182"/>
      <c r="W254" s="182"/>
      <c r="X254" s="182"/>
      <c r="Y254" s="182"/>
      <c r="Z254" s="182"/>
      <c r="AA254" s="182"/>
      <c r="AB254" s="182"/>
      <c r="AC254" s="182"/>
      <c r="AD254" s="182"/>
      <c r="AE254" s="182"/>
      <c r="AF254" s="182"/>
      <c r="AG254" s="182"/>
      <c r="AH254" s="247"/>
      <c r="AI254" s="247"/>
      <c r="AJ254" s="182"/>
      <c r="AK254" s="182"/>
      <c r="AL254" s="182"/>
      <c r="AM254" s="36"/>
      <c r="AN254" s="36"/>
      <c r="AO254" s="36"/>
      <c r="AP254" s="36"/>
    </row>
    <row r="255" spans="1:42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82"/>
      <c r="V255" s="182"/>
      <c r="W255" s="182"/>
      <c r="X255" s="182"/>
      <c r="Y255" s="182"/>
      <c r="Z255" s="182"/>
      <c r="AA255" s="182"/>
      <c r="AB255" s="182"/>
      <c r="AC255" s="182"/>
      <c r="AD255" s="182"/>
      <c r="AE255" s="182"/>
      <c r="AF255" s="182"/>
      <c r="AG255" s="182"/>
      <c r="AH255" s="247"/>
      <c r="AI255" s="247"/>
      <c r="AJ255" s="182"/>
      <c r="AK255" s="182"/>
      <c r="AL255" s="182"/>
      <c r="AM255" s="36"/>
      <c r="AN255" s="36"/>
      <c r="AO255" s="36"/>
      <c r="AP255" s="36"/>
    </row>
    <row r="256" spans="1:42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82"/>
      <c r="V256" s="182"/>
      <c r="W256" s="182"/>
      <c r="X256" s="182"/>
      <c r="Y256" s="182"/>
      <c r="Z256" s="182"/>
      <c r="AA256" s="182"/>
      <c r="AB256" s="182"/>
      <c r="AC256" s="182"/>
      <c r="AD256" s="182"/>
      <c r="AE256" s="182"/>
      <c r="AF256" s="182"/>
      <c r="AG256" s="182"/>
      <c r="AH256" s="247"/>
      <c r="AI256" s="247"/>
      <c r="AJ256" s="182"/>
      <c r="AK256" s="182"/>
      <c r="AL256" s="182"/>
      <c r="AM256" s="36"/>
      <c r="AN256" s="36"/>
      <c r="AO256" s="36"/>
      <c r="AP256" s="36"/>
    </row>
    <row r="257" spans="1:42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82"/>
      <c r="V257" s="182"/>
      <c r="W257" s="182"/>
      <c r="X257" s="182"/>
      <c r="Y257" s="182"/>
      <c r="Z257" s="182"/>
      <c r="AA257" s="182"/>
      <c r="AB257" s="182"/>
      <c r="AC257" s="182"/>
      <c r="AD257" s="182"/>
      <c r="AE257" s="182"/>
      <c r="AF257" s="182"/>
      <c r="AG257" s="182"/>
      <c r="AH257" s="247"/>
      <c r="AI257" s="247"/>
      <c r="AJ257" s="182"/>
      <c r="AK257" s="182"/>
      <c r="AL257" s="182"/>
      <c r="AM257" s="36"/>
      <c r="AN257" s="36"/>
      <c r="AO257" s="36"/>
      <c r="AP257" s="36"/>
    </row>
    <row r="258" spans="1:42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247"/>
      <c r="AI258" s="247"/>
      <c r="AJ258" s="182"/>
      <c r="AK258" s="182"/>
      <c r="AL258" s="182"/>
      <c r="AM258" s="36"/>
      <c r="AN258" s="36"/>
      <c r="AO258" s="36"/>
      <c r="AP258" s="36"/>
    </row>
    <row r="259" spans="1:42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247"/>
      <c r="AI259" s="247"/>
      <c r="AJ259" s="182"/>
      <c r="AK259" s="182"/>
      <c r="AL259" s="182"/>
      <c r="AM259" s="36"/>
      <c r="AN259" s="36"/>
      <c r="AO259" s="36"/>
      <c r="AP259" s="36"/>
    </row>
    <row r="260" spans="1:42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82"/>
      <c r="V260" s="182"/>
      <c r="W260" s="182"/>
      <c r="X260" s="182"/>
      <c r="Y260" s="182"/>
      <c r="Z260" s="182"/>
      <c r="AA260" s="182"/>
      <c r="AB260" s="182"/>
      <c r="AC260" s="182"/>
      <c r="AD260" s="182"/>
      <c r="AE260" s="182"/>
      <c r="AF260" s="182"/>
      <c r="AG260" s="182"/>
      <c r="AH260" s="247"/>
      <c r="AI260" s="247"/>
      <c r="AJ260" s="182"/>
      <c r="AK260" s="182"/>
      <c r="AL260" s="182"/>
      <c r="AM260" s="36"/>
      <c r="AN260" s="36"/>
      <c r="AO260" s="36"/>
      <c r="AP260" s="36"/>
    </row>
    <row r="261" spans="1:42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82"/>
      <c r="V261" s="182"/>
      <c r="W261" s="182"/>
      <c r="X261" s="182"/>
      <c r="Y261" s="182"/>
      <c r="Z261" s="182"/>
      <c r="AA261" s="182"/>
      <c r="AB261" s="182"/>
      <c r="AC261" s="182"/>
      <c r="AD261" s="182"/>
      <c r="AE261" s="182"/>
      <c r="AF261" s="182"/>
      <c r="AG261" s="182"/>
      <c r="AH261" s="247"/>
      <c r="AI261" s="247"/>
      <c r="AJ261" s="249"/>
      <c r="AK261" s="182"/>
      <c r="AL261" s="182"/>
      <c r="AM261" s="36"/>
      <c r="AN261" s="36"/>
      <c r="AO261" s="36"/>
      <c r="AP261" s="36"/>
    </row>
    <row r="262" spans="1:42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82"/>
      <c r="V262" s="182"/>
      <c r="W262" s="182"/>
      <c r="X262" s="182"/>
      <c r="Y262" s="182"/>
      <c r="Z262" s="182"/>
      <c r="AA262" s="182"/>
      <c r="AB262" s="182"/>
      <c r="AC262" s="182"/>
      <c r="AD262" s="182"/>
      <c r="AE262" s="182"/>
      <c r="AF262" s="182"/>
      <c r="AG262" s="182"/>
      <c r="AH262" s="247"/>
      <c r="AI262" s="247"/>
      <c r="AJ262" s="249"/>
      <c r="AK262" s="182"/>
      <c r="AL262" s="182"/>
      <c r="AM262" s="36"/>
      <c r="AN262" s="36"/>
      <c r="AO262" s="36"/>
      <c r="AP262" s="36"/>
    </row>
    <row r="263" spans="1:42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82"/>
      <c r="V263" s="182"/>
      <c r="W263" s="182"/>
      <c r="X263" s="182"/>
      <c r="Y263" s="182"/>
      <c r="Z263" s="182"/>
      <c r="AA263" s="182"/>
      <c r="AB263" s="182"/>
      <c r="AC263" s="182"/>
      <c r="AD263" s="182"/>
      <c r="AE263" s="182"/>
      <c r="AF263" s="182"/>
      <c r="AG263" s="182"/>
      <c r="AH263" s="247"/>
      <c r="AI263" s="247"/>
      <c r="AJ263" s="182"/>
      <c r="AK263" s="182"/>
      <c r="AL263" s="182"/>
      <c r="AM263" s="36"/>
      <c r="AN263" s="36"/>
      <c r="AO263" s="36"/>
      <c r="AP263" s="36"/>
    </row>
    <row r="264" spans="1:42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250"/>
      <c r="V264" s="251"/>
      <c r="W264" s="251"/>
      <c r="X264" s="251"/>
      <c r="Y264" s="251"/>
      <c r="Z264" s="251"/>
      <c r="AA264" s="251"/>
      <c r="AB264" s="251"/>
      <c r="AC264" s="251"/>
      <c r="AD264" s="251"/>
      <c r="AE264" s="251"/>
      <c r="AF264" s="251"/>
      <c r="AG264" s="251"/>
      <c r="AH264" s="252"/>
      <c r="AI264" s="252"/>
      <c r="AJ264" s="251"/>
      <c r="AK264" s="182"/>
      <c r="AL264" s="182"/>
      <c r="AM264" s="36"/>
      <c r="AN264" s="36"/>
      <c r="AO264" s="36"/>
      <c r="AP264" s="36"/>
    </row>
    <row r="265" spans="1:42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251"/>
      <c r="V265" s="251"/>
      <c r="W265" s="251"/>
      <c r="X265" s="251"/>
      <c r="Y265" s="251"/>
      <c r="Z265" s="251"/>
      <c r="AA265" s="251"/>
      <c r="AB265" s="251"/>
      <c r="AC265" s="251"/>
      <c r="AD265" s="251"/>
      <c r="AE265" s="251"/>
      <c r="AF265" s="251"/>
      <c r="AG265" s="251"/>
      <c r="AH265" s="252"/>
      <c r="AI265" s="252"/>
      <c r="AJ265" s="251"/>
      <c r="AK265" s="182"/>
      <c r="AL265" s="182"/>
      <c r="AM265" s="36"/>
      <c r="AN265" s="36"/>
      <c r="AO265" s="36"/>
      <c r="AP265" s="36"/>
    </row>
    <row r="266" spans="1:42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251"/>
      <c r="V266" s="251"/>
      <c r="W266" s="251"/>
      <c r="X266" s="251"/>
      <c r="Y266" s="251"/>
      <c r="Z266" s="251"/>
      <c r="AA266" s="251"/>
      <c r="AB266" s="251"/>
      <c r="AC266" s="251"/>
      <c r="AD266" s="251"/>
      <c r="AE266" s="251"/>
      <c r="AF266" s="251"/>
      <c r="AG266" s="251"/>
      <c r="AH266" s="252"/>
      <c r="AI266" s="252"/>
      <c r="AJ266" s="251"/>
      <c r="AK266" s="182"/>
      <c r="AL266" s="182"/>
      <c r="AM266" s="36"/>
      <c r="AN266" s="36"/>
      <c r="AO266" s="36"/>
      <c r="AP266" s="36"/>
    </row>
    <row r="267" spans="1:42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251"/>
      <c r="V267" s="251"/>
      <c r="W267" s="251"/>
      <c r="X267" s="251"/>
      <c r="Y267" s="251"/>
      <c r="Z267" s="251"/>
      <c r="AA267" s="251"/>
      <c r="AB267" s="251"/>
      <c r="AC267" s="251"/>
      <c r="AD267" s="251"/>
      <c r="AE267" s="251"/>
      <c r="AF267" s="251"/>
      <c r="AG267" s="251"/>
      <c r="AH267" s="252"/>
      <c r="AI267" s="252"/>
      <c r="AJ267" s="251"/>
      <c r="AK267" s="182"/>
      <c r="AL267" s="182"/>
      <c r="AM267" s="36"/>
      <c r="AN267" s="36"/>
      <c r="AO267" s="36"/>
      <c r="AP267" s="36"/>
    </row>
    <row r="268" spans="1:42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82"/>
      <c r="V268" s="182"/>
      <c r="W268" s="182"/>
      <c r="X268" s="182"/>
      <c r="Y268" s="182"/>
      <c r="Z268" s="182"/>
      <c r="AA268" s="182"/>
      <c r="AB268" s="182"/>
      <c r="AC268" s="182"/>
      <c r="AD268" s="182"/>
      <c r="AE268" s="182"/>
      <c r="AF268" s="182"/>
      <c r="AG268" s="182"/>
      <c r="AH268" s="247"/>
      <c r="AI268" s="247"/>
      <c r="AJ268" s="182"/>
      <c r="AK268" s="182"/>
      <c r="AL268" s="182"/>
      <c r="AM268" s="36"/>
      <c r="AN268" s="36"/>
      <c r="AO268" s="36"/>
      <c r="AP268" s="36"/>
    </row>
    <row r="269" spans="1:42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82"/>
      <c r="V269" s="182"/>
      <c r="W269" s="182"/>
      <c r="X269" s="253"/>
      <c r="Y269" s="182"/>
      <c r="Z269" s="182"/>
      <c r="AA269" s="182"/>
      <c r="AB269" s="253"/>
      <c r="AC269" s="182"/>
      <c r="AD269" s="253"/>
      <c r="AE269" s="253"/>
      <c r="AF269" s="253"/>
      <c r="AG269" s="182"/>
      <c r="AH269" s="247"/>
      <c r="AI269" s="247"/>
      <c r="AJ269" s="182"/>
      <c r="AK269" s="182"/>
      <c r="AL269" s="182"/>
      <c r="AM269" s="36"/>
      <c r="AN269" s="36"/>
      <c r="AO269" s="36"/>
      <c r="AP269" s="36"/>
    </row>
    <row r="270" spans="1:42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82"/>
      <c r="V270" s="182"/>
      <c r="W270" s="182"/>
      <c r="X270" s="253"/>
      <c r="Y270" s="182"/>
      <c r="Z270" s="253"/>
      <c r="AA270" s="182"/>
      <c r="AB270" s="253"/>
      <c r="AC270" s="182"/>
      <c r="AD270" s="253"/>
      <c r="AE270" s="253"/>
      <c r="AF270" s="253"/>
      <c r="AG270" s="182"/>
      <c r="AH270" s="247"/>
      <c r="AI270" s="247"/>
      <c r="AJ270" s="253"/>
      <c r="AK270" s="182"/>
      <c r="AL270" s="182"/>
      <c r="AM270" s="36"/>
      <c r="AN270" s="36"/>
      <c r="AO270" s="36"/>
      <c r="AP270" s="36"/>
    </row>
    <row r="271" spans="1:42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251"/>
      <c r="V271" s="251"/>
      <c r="W271" s="182"/>
      <c r="X271" s="253"/>
      <c r="Y271" s="182"/>
      <c r="Z271" s="253"/>
      <c r="AA271" s="182"/>
      <c r="AB271" s="253"/>
      <c r="AC271" s="182"/>
      <c r="AD271" s="253"/>
      <c r="AE271" s="253"/>
      <c r="AF271" s="253"/>
      <c r="AG271" s="182"/>
      <c r="AH271" s="247"/>
      <c r="AI271" s="247"/>
      <c r="AJ271" s="253"/>
      <c r="AK271" s="182"/>
      <c r="AL271" s="182"/>
      <c r="AM271" s="36"/>
      <c r="AN271" s="36"/>
      <c r="AO271" s="36"/>
      <c r="AP271" s="36"/>
    </row>
    <row r="272" spans="1:42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251"/>
      <c r="V272" s="251"/>
      <c r="W272" s="182"/>
      <c r="X272" s="253"/>
      <c r="Y272" s="182"/>
      <c r="Z272" s="253"/>
      <c r="AA272" s="182"/>
      <c r="AB272" s="253"/>
      <c r="AC272" s="182"/>
      <c r="AD272" s="253"/>
      <c r="AE272" s="253"/>
      <c r="AF272" s="253"/>
      <c r="AG272" s="182"/>
      <c r="AH272" s="247"/>
      <c r="AI272" s="247"/>
      <c r="AJ272" s="253"/>
      <c r="AK272" s="182"/>
      <c r="AL272" s="182"/>
      <c r="AM272" s="36"/>
      <c r="AN272" s="36"/>
      <c r="AO272" s="36"/>
      <c r="AP272" s="36"/>
    </row>
    <row r="273" spans="1:42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82"/>
      <c r="V273" s="182"/>
      <c r="W273" s="182"/>
      <c r="X273" s="182"/>
      <c r="Y273" s="182"/>
      <c r="Z273" s="182"/>
      <c r="AA273" s="182"/>
      <c r="AB273" s="182"/>
      <c r="AC273" s="182"/>
      <c r="AD273" s="182"/>
      <c r="AE273" s="182"/>
      <c r="AF273" s="182"/>
      <c r="AG273" s="182"/>
      <c r="AH273" s="247"/>
      <c r="AI273" s="247"/>
      <c r="AJ273" s="182"/>
      <c r="AK273" s="182"/>
      <c r="AL273" s="182"/>
      <c r="AM273" s="36"/>
      <c r="AN273" s="36"/>
      <c r="AO273" s="36"/>
      <c r="AP273" s="36"/>
    </row>
    <row r="274" spans="1:42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256"/>
      <c r="V274" s="182"/>
      <c r="W274" s="182"/>
      <c r="X274" s="182"/>
      <c r="Y274" s="182"/>
      <c r="Z274" s="182"/>
      <c r="AA274" s="182"/>
      <c r="AB274" s="182"/>
      <c r="AC274" s="182"/>
      <c r="AD274" s="182"/>
      <c r="AE274" s="182"/>
      <c r="AF274" s="182"/>
      <c r="AG274" s="182"/>
      <c r="AH274" s="247"/>
      <c r="AI274" s="247"/>
      <c r="AJ274" s="182"/>
      <c r="AK274" s="182"/>
      <c r="AL274" s="182"/>
      <c r="AM274" s="36"/>
      <c r="AN274" s="36"/>
      <c r="AO274" s="36"/>
      <c r="AP274" s="36"/>
    </row>
    <row r="275" spans="1:42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82"/>
      <c r="V275" s="182"/>
      <c r="W275" s="182"/>
      <c r="X275" s="247"/>
      <c r="Y275" s="182"/>
      <c r="Z275" s="247"/>
      <c r="AA275" s="182"/>
      <c r="AB275" s="182"/>
      <c r="AC275" s="182"/>
      <c r="AD275" s="182"/>
      <c r="AE275" s="182"/>
      <c r="AF275" s="182"/>
      <c r="AG275" s="182"/>
      <c r="AH275" s="247"/>
      <c r="AI275" s="247"/>
      <c r="AJ275" s="182"/>
      <c r="AK275" s="182"/>
      <c r="AL275" s="182"/>
      <c r="AM275" s="36"/>
      <c r="AN275" s="36"/>
      <c r="AO275" s="36"/>
      <c r="AP275" s="36"/>
    </row>
    <row r="276" spans="1:42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82"/>
      <c r="V276" s="182"/>
      <c r="W276" s="182"/>
      <c r="X276" s="182"/>
      <c r="Y276" s="182"/>
      <c r="Z276" s="182"/>
      <c r="AA276" s="182"/>
      <c r="AB276" s="247"/>
      <c r="AC276" s="182"/>
      <c r="AD276" s="182"/>
      <c r="AE276" s="182"/>
      <c r="AF276" s="182"/>
      <c r="AG276" s="182"/>
      <c r="AH276" s="247"/>
      <c r="AI276" s="247"/>
      <c r="AJ276" s="182"/>
      <c r="AK276" s="182"/>
      <c r="AL276" s="182"/>
      <c r="AM276" s="36"/>
      <c r="AN276" s="36"/>
      <c r="AO276" s="36"/>
      <c r="AP276" s="36"/>
    </row>
    <row r="277" spans="1:42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82"/>
      <c r="V277" s="182"/>
      <c r="W277" s="182"/>
      <c r="X277" s="182"/>
      <c r="Y277" s="182"/>
      <c r="Z277" s="182"/>
      <c r="AA277" s="182"/>
      <c r="AB277" s="247"/>
      <c r="AC277" s="182"/>
      <c r="AD277" s="247"/>
      <c r="AE277" s="247"/>
      <c r="AF277" s="247"/>
      <c r="AG277" s="182"/>
      <c r="AH277" s="247"/>
      <c r="AI277" s="247"/>
      <c r="AJ277" s="182"/>
      <c r="AK277" s="182"/>
      <c r="AL277" s="182"/>
      <c r="AM277" s="36"/>
      <c r="AN277" s="36"/>
      <c r="AO277" s="36"/>
      <c r="AP277" s="36"/>
    </row>
    <row r="278" spans="1:42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82"/>
      <c r="V278" s="182"/>
      <c r="W278" s="182"/>
      <c r="X278" s="182"/>
      <c r="Y278" s="182"/>
      <c r="Z278" s="182"/>
      <c r="AA278" s="182"/>
      <c r="AB278" s="182"/>
      <c r="AC278" s="182"/>
      <c r="AD278" s="182"/>
      <c r="AE278" s="182"/>
      <c r="AF278" s="182"/>
      <c r="AG278" s="182"/>
      <c r="AH278" s="247"/>
      <c r="AI278" s="247"/>
      <c r="AJ278" s="247"/>
      <c r="AK278" s="182"/>
      <c r="AL278" s="182"/>
      <c r="AM278" s="36"/>
      <c r="AN278" s="36"/>
      <c r="AO278" s="36"/>
      <c r="AP278" s="36"/>
    </row>
    <row r="279" spans="1:42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82"/>
      <c r="V279" s="182"/>
      <c r="W279" s="182"/>
      <c r="X279" s="182"/>
      <c r="Y279" s="182"/>
      <c r="Z279" s="182"/>
      <c r="AA279" s="182"/>
      <c r="AB279" s="182"/>
      <c r="AC279" s="182"/>
      <c r="AD279" s="182"/>
      <c r="AE279" s="182"/>
      <c r="AF279" s="182"/>
      <c r="AG279" s="182"/>
      <c r="AH279" s="247"/>
      <c r="AI279" s="247"/>
      <c r="AJ279" s="182"/>
      <c r="AK279" s="182"/>
      <c r="AL279" s="182"/>
      <c r="AM279" s="36"/>
      <c r="AN279" s="36"/>
      <c r="AO279" s="36"/>
      <c r="AP279" s="36"/>
    </row>
    <row r="280" spans="1:42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82"/>
      <c r="V280" s="182"/>
      <c r="W280" s="182"/>
      <c r="X280" s="182"/>
      <c r="Y280" s="182"/>
      <c r="Z280" s="182"/>
      <c r="AA280" s="182"/>
      <c r="AB280" s="182"/>
      <c r="AC280" s="182"/>
      <c r="AD280" s="182"/>
      <c r="AE280" s="182"/>
      <c r="AF280" s="182"/>
      <c r="AG280" s="182"/>
      <c r="AH280" s="247"/>
      <c r="AI280" s="247"/>
      <c r="AJ280" s="182"/>
      <c r="AK280" s="182"/>
      <c r="AL280" s="182"/>
      <c r="AM280" s="36"/>
      <c r="AN280" s="36"/>
      <c r="AO280" s="36"/>
      <c r="AP280" s="36"/>
    </row>
    <row r="281" spans="1:42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256"/>
      <c r="V281" s="182"/>
      <c r="W281" s="182"/>
      <c r="X281" s="182"/>
      <c r="Y281" s="182"/>
      <c r="Z281" s="182"/>
      <c r="AA281" s="182"/>
      <c r="AB281" s="182"/>
      <c r="AC281" s="182"/>
      <c r="AD281" s="182"/>
      <c r="AE281" s="182"/>
      <c r="AF281" s="182"/>
      <c r="AG281" s="182"/>
      <c r="AH281" s="247"/>
      <c r="AI281" s="247"/>
      <c r="AJ281" s="182"/>
      <c r="AK281" s="182"/>
      <c r="AL281" s="182"/>
      <c r="AM281" s="36"/>
      <c r="AN281" s="36"/>
      <c r="AO281" s="36"/>
      <c r="AP281" s="36"/>
    </row>
    <row r="282" spans="1:42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82"/>
      <c r="V282" s="182"/>
      <c r="W282" s="182"/>
      <c r="X282" s="182"/>
      <c r="Y282" s="182"/>
      <c r="Z282" s="182"/>
      <c r="AA282" s="182"/>
      <c r="AB282" s="182"/>
      <c r="AC282" s="182"/>
      <c r="AD282" s="182"/>
      <c r="AE282" s="182"/>
      <c r="AF282" s="182"/>
      <c r="AG282" s="182"/>
      <c r="AH282" s="247"/>
      <c r="AI282" s="247"/>
      <c r="AJ282" s="182"/>
      <c r="AK282" s="182"/>
      <c r="AL282" s="182"/>
      <c r="AM282" s="36"/>
      <c r="AN282" s="36"/>
      <c r="AO282" s="36"/>
      <c r="AP282" s="36"/>
    </row>
    <row r="283" spans="1:42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82"/>
      <c r="V283" s="182"/>
      <c r="W283" s="182"/>
      <c r="X283" s="182"/>
      <c r="Y283" s="182"/>
      <c r="Z283" s="182"/>
      <c r="AA283" s="182"/>
      <c r="AB283" s="182"/>
      <c r="AC283" s="182"/>
      <c r="AD283" s="182"/>
      <c r="AE283" s="182"/>
      <c r="AF283" s="182"/>
      <c r="AG283" s="182"/>
      <c r="AH283" s="247"/>
      <c r="AI283" s="247"/>
      <c r="AJ283" s="182"/>
      <c r="AK283" s="182"/>
      <c r="AL283" s="182"/>
      <c r="AM283" s="36"/>
      <c r="AN283" s="36"/>
      <c r="AO283" s="36"/>
      <c r="AP283" s="36"/>
    </row>
    <row r="284" spans="1:42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82"/>
      <c r="V284" s="182"/>
      <c r="W284" s="182"/>
      <c r="X284" s="182"/>
      <c r="Y284" s="182"/>
      <c r="Z284" s="182"/>
      <c r="AA284" s="182"/>
      <c r="AB284" s="182"/>
      <c r="AC284" s="182"/>
      <c r="AD284" s="182"/>
      <c r="AE284" s="182"/>
      <c r="AF284" s="182"/>
      <c r="AG284" s="182"/>
      <c r="AH284" s="247"/>
      <c r="AI284" s="247"/>
      <c r="AJ284" s="182"/>
      <c r="AK284" s="182"/>
      <c r="AL284" s="182"/>
      <c r="AM284" s="36"/>
      <c r="AN284" s="36"/>
      <c r="AO284" s="36"/>
      <c r="AP284" s="36"/>
    </row>
    <row r="285" spans="1:42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82"/>
      <c r="V285" s="182"/>
      <c r="W285" s="182"/>
      <c r="X285" s="182"/>
      <c r="Y285" s="182"/>
      <c r="Z285" s="182"/>
      <c r="AA285" s="182"/>
      <c r="AB285" s="182"/>
      <c r="AC285" s="182"/>
      <c r="AD285" s="182"/>
      <c r="AE285" s="182"/>
      <c r="AF285" s="182"/>
      <c r="AG285" s="182"/>
      <c r="AH285" s="247"/>
      <c r="AI285" s="247"/>
      <c r="AJ285" s="182"/>
      <c r="AK285" s="182"/>
      <c r="AL285" s="182"/>
      <c r="AM285" s="36"/>
      <c r="AN285" s="36"/>
      <c r="AO285" s="36"/>
      <c r="AP285" s="36"/>
    </row>
    <row r="286" spans="1:42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82"/>
      <c r="V286" s="182"/>
      <c r="W286" s="182"/>
      <c r="X286" s="182"/>
      <c r="Y286" s="182"/>
      <c r="Z286" s="182"/>
      <c r="AA286" s="182"/>
      <c r="AB286" s="182"/>
      <c r="AC286" s="182"/>
      <c r="AD286" s="182"/>
      <c r="AE286" s="182"/>
      <c r="AF286" s="182"/>
      <c r="AG286" s="182"/>
      <c r="AH286" s="247"/>
      <c r="AI286" s="247"/>
      <c r="AJ286" s="182"/>
      <c r="AK286" s="182"/>
      <c r="AL286" s="182"/>
      <c r="AM286" s="36"/>
      <c r="AN286" s="36"/>
      <c r="AO286" s="36"/>
      <c r="AP286" s="36"/>
    </row>
    <row r="287" spans="1:42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82"/>
      <c r="V287" s="182"/>
      <c r="W287" s="182"/>
      <c r="X287" s="182"/>
      <c r="Y287" s="182"/>
      <c r="Z287" s="182"/>
      <c r="AA287" s="182"/>
      <c r="AB287" s="182"/>
      <c r="AC287" s="182"/>
      <c r="AD287" s="182"/>
      <c r="AE287" s="182"/>
      <c r="AF287" s="182"/>
      <c r="AG287" s="182"/>
      <c r="AH287" s="247"/>
      <c r="AI287" s="247"/>
      <c r="AJ287" s="182"/>
      <c r="AK287" s="182"/>
      <c r="AL287" s="182"/>
      <c r="AM287" s="36"/>
      <c r="AN287" s="36"/>
      <c r="AO287" s="36"/>
      <c r="AP287" s="36"/>
    </row>
    <row r="288" spans="1:42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82"/>
      <c r="V288" s="182"/>
      <c r="W288" s="182"/>
      <c r="X288" s="182"/>
      <c r="Y288" s="182"/>
      <c r="Z288" s="182"/>
      <c r="AA288" s="182"/>
      <c r="AB288" s="182"/>
      <c r="AC288" s="182"/>
      <c r="AD288" s="182"/>
      <c r="AE288" s="182"/>
      <c r="AF288" s="182"/>
      <c r="AG288" s="182"/>
      <c r="AH288" s="247"/>
      <c r="AI288" s="247"/>
      <c r="AJ288" s="182"/>
      <c r="AK288" s="182"/>
      <c r="AL288" s="182"/>
      <c r="AM288" s="36"/>
      <c r="AN288" s="36"/>
      <c r="AO288" s="36"/>
      <c r="AP288" s="36"/>
    </row>
    <row r="289" spans="1:42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82"/>
      <c r="V289" s="182"/>
      <c r="W289" s="182"/>
      <c r="X289" s="182"/>
      <c r="Y289" s="182"/>
      <c r="Z289" s="182"/>
      <c r="AA289" s="182"/>
      <c r="AB289" s="182"/>
      <c r="AC289" s="182"/>
      <c r="AD289" s="182"/>
      <c r="AE289" s="182"/>
      <c r="AF289" s="182"/>
      <c r="AG289" s="182"/>
      <c r="AH289" s="247"/>
      <c r="AI289" s="247"/>
      <c r="AJ289" s="182"/>
      <c r="AK289" s="182"/>
      <c r="AL289" s="182"/>
      <c r="AM289" s="36"/>
      <c r="AN289" s="36"/>
      <c r="AO289" s="36"/>
      <c r="AP289" s="36"/>
    </row>
    <row r="290" spans="1:42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82"/>
      <c r="V290" s="182"/>
      <c r="W290" s="182"/>
      <c r="X290" s="182"/>
      <c r="Y290" s="182"/>
      <c r="Z290" s="182"/>
      <c r="AA290" s="182"/>
      <c r="AB290" s="182"/>
      <c r="AC290" s="182"/>
      <c r="AD290" s="182"/>
      <c r="AE290" s="182"/>
      <c r="AF290" s="182"/>
      <c r="AG290" s="182"/>
      <c r="AH290" s="247"/>
      <c r="AI290" s="247"/>
      <c r="AJ290" s="182"/>
      <c r="AK290" s="182"/>
      <c r="AL290" s="182"/>
      <c r="AM290" s="36"/>
      <c r="AN290" s="36"/>
      <c r="AO290" s="36"/>
      <c r="AP290" s="36"/>
    </row>
    <row r="291" spans="1:42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82"/>
      <c r="V291" s="182"/>
      <c r="W291" s="182"/>
      <c r="X291" s="182"/>
      <c r="Y291" s="182"/>
      <c r="Z291" s="182"/>
      <c r="AA291" s="182"/>
      <c r="AB291" s="182"/>
      <c r="AC291" s="182"/>
      <c r="AD291" s="182"/>
      <c r="AE291" s="182"/>
      <c r="AF291" s="182"/>
      <c r="AG291" s="182"/>
      <c r="AH291" s="247"/>
      <c r="AI291" s="247"/>
      <c r="AJ291" s="182"/>
      <c r="AK291" s="182"/>
      <c r="AL291" s="182"/>
      <c r="AM291" s="36"/>
      <c r="AN291" s="36"/>
      <c r="AO291" s="36"/>
      <c r="AP291" s="36"/>
    </row>
    <row r="292" spans="1:42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82"/>
      <c r="V292" s="182"/>
      <c r="W292" s="182"/>
      <c r="X292" s="182"/>
      <c r="Y292" s="182"/>
      <c r="Z292" s="182"/>
      <c r="AA292" s="182"/>
      <c r="AB292" s="182"/>
      <c r="AC292" s="182"/>
      <c r="AD292" s="182"/>
      <c r="AE292" s="182"/>
      <c r="AF292" s="182"/>
      <c r="AG292" s="182"/>
      <c r="AH292" s="247"/>
      <c r="AI292" s="247"/>
      <c r="AJ292" s="182"/>
      <c r="AK292" s="182"/>
      <c r="AL292" s="182"/>
      <c r="AM292" s="36"/>
      <c r="AN292" s="36"/>
      <c r="AO292" s="36"/>
      <c r="AP292" s="36"/>
    </row>
    <row r="293" spans="1:42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82"/>
      <c r="V293" s="182"/>
      <c r="W293" s="182"/>
      <c r="X293" s="182"/>
      <c r="Y293" s="182"/>
      <c r="Z293" s="182"/>
      <c r="AA293" s="182"/>
      <c r="AB293" s="182"/>
      <c r="AC293" s="182"/>
      <c r="AD293" s="182"/>
      <c r="AE293" s="182"/>
      <c r="AF293" s="182"/>
      <c r="AG293" s="182"/>
      <c r="AH293" s="247"/>
      <c r="AI293" s="247"/>
      <c r="AJ293" s="182"/>
      <c r="AK293" s="182"/>
      <c r="AL293" s="182"/>
      <c r="AM293" s="36"/>
      <c r="AN293" s="36"/>
      <c r="AO293" s="36"/>
      <c r="AP293" s="36"/>
    </row>
    <row r="294" spans="1:42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82"/>
      <c r="V294" s="182"/>
      <c r="W294" s="182"/>
      <c r="X294" s="182"/>
      <c r="Y294" s="182"/>
      <c r="Z294" s="182"/>
      <c r="AA294" s="182"/>
      <c r="AB294" s="182"/>
      <c r="AC294" s="182"/>
      <c r="AD294" s="182"/>
      <c r="AE294" s="182"/>
      <c r="AF294" s="182"/>
      <c r="AG294" s="182"/>
      <c r="AH294" s="247"/>
      <c r="AI294" s="247"/>
      <c r="AJ294" s="182"/>
      <c r="AK294" s="182"/>
      <c r="AL294" s="182"/>
      <c r="AM294" s="36"/>
      <c r="AN294" s="36"/>
      <c r="AO294" s="36"/>
      <c r="AP294" s="36"/>
    </row>
    <row r="295" spans="1:42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82"/>
      <c r="V295" s="182"/>
      <c r="W295" s="182"/>
      <c r="X295" s="240"/>
      <c r="Y295" s="182"/>
      <c r="Z295" s="240"/>
      <c r="AA295" s="182"/>
      <c r="AB295" s="240"/>
      <c r="AC295" s="182"/>
      <c r="AD295" s="240"/>
      <c r="AE295" s="240"/>
      <c r="AF295" s="240"/>
      <c r="AG295" s="182"/>
      <c r="AH295" s="247"/>
      <c r="AI295" s="247"/>
      <c r="AJ295" s="240"/>
      <c r="AK295" s="182"/>
      <c r="AL295" s="182"/>
      <c r="AM295" s="36"/>
      <c r="AN295" s="36"/>
      <c r="AO295" s="36"/>
      <c r="AP295" s="36"/>
    </row>
    <row r="296" spans="1:42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247"/>
      <c r="AI296" s="247"/>
      <c r="AJ296" s="182"/>
      <c r="AK296" s="182"/>
      <c r="AL296" s="182"/>
      <c r="AM296" s="36"/>
      <c r="AN296" s="36"/>
      <c r="AO296" s="36"/>
      <c r="AP296" s="36"/>
    </row>
    <row r="297" spans="1:42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82"/>
      <c r="V297" s="182"/>
      <c r="W297" s="182"/>
      <c r="X297" s="182"/>
      <c r="Y297" s="182"/>
      <c r="Z297" s="182"/>
      <c r="AA297" s="182"/>
      <c r="AB297" s="182"/>
      <c r="AC297" s="182"/>
      <c r="AD297" s="182"/>
      <c r="AE297" s="182"/>
      <c r="AF297" s="182"/>
      <c r="AG297" s="182"/>
      <c r="AH297" s="247"/>
      <c r="AI297" s="247"/>
      <c r="AJ297" s="182"/>
      <c r="AK297" s="182"/>
      <c r="AL297" s="182"/>
      <c r="AM297" s="36"/>
      <c r="AN297" s="36"/>
      <c r="AO297" s="36"/>
      <c r="AP297" s="36"/>
    </row>
    <row r="298" spans="1:42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82"/>
      <c r="V298" s="182"/>
      <c r="W298" s="182"/>
      <c r="X298" s="182"/>
      <c r="Y298" s="182"/>
      <c r="Z298" s="182"/>
      <c r="AA298" s="182"/>
      <c r="AB298" s="182"/>
      <c r="AC298" s="182"/>
      <c r="AD298" s="182"/>
      <c r="AE298" s="182"/>
      <c r="AF298" s="182"/>
      <c r="AG298" s="182"/>
      <c r="AH298" s="247"/>
      <c r="AI298" s="247"/>
      <c r="AJ298" s="182"/>
      <c r="AK298" s="182"/>
      <c r="AL298" s="182"/>
      <c r="AM298" s="36"/>
      <c r="AN298" s="36"/>
      <c r="AO298" s="36"/>
      <c r="AP298" s="36"/>
    </row>
    <row r="299" spans="1:42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82"/>
      <c r="V299" s="182"/>
      <c r="W299" s="182"/>
      <c r="X299" s="182"/>
      <c r="Y299" s="182"/>
      <c r="Z299" s="182"/>
      <c r="AA299" s="182"/>
      <c r="AB299" s="182"/>
      <c r="AC299" s="182"/>
      <c r="AD299" s="182"/>
      <c r="AE299" s="182"/>
      <c r="AF299" s="182"/>
      <c r="AG299" s="182"/>
      <c r="AH299" s="247"/>
      <c r="AI299" s="247"/>
      <c r="AJ299" s="182"/>
      <c r="AK299" s="182"/>
      <c r="AL299" s="182"/>
      <c r="AM299" s="36"/>
      <c r="AN299" s="36"/>
      <c r="AO299" s="36"/>
      <c r="AP299" s="36"/>
    </row>
    <row r="300" spans="1:42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82"/>
      <c r="V300" s="182"/>
      <c r="W300" s="182"/>
      <c r="X300" s="182"/>
      <c r="Y300" s="182"/>
      <c r="Z300" s="182"/>
      <c r="AA300" s="182"/>
      <c r="AB300" s="182"/>
      <c r="AC300" s="182"/>
      <c r="AD300" s="182"/>
      <c r="AE300" s="182"/>
      <c r="AF300" s="182"/>
      <c r="AG300" s="182"/>
      <c r="AH300" s="247"/>
      <c r="AI300" s="247"/>
      <c r="AJ300" s="182"/>
      <c r="AK300" s="182"/>
      <c r="AL300" s="182"/>
      <c r="AM300" s="36"/>
      <c r="AN300" s="36"/>
      <c r="AO300" s="36"/>
      <c r="AP300" s="36"/>
    </row>
    <row r="301" spans="1:42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82"/>
      <c r="V301" s="182"/>
      <c r="W301" s="182"/>
      <c r="X301" s="182"/>
      <c r="Y301" s="182"/>
      <c r="Z301" s="182"/>
      <c r="AA301" s="182"/>
      <c r="AB301" s="182"/>
      <c r="AC301" s="182"/>
      <c r="AD301" s="182"/>
      <c r="AE301" s="182"/>
      <c r="AF301" s="182"/>
      <c r="AG301" s="182"/>
      <c r="AH301" s="247"/>
      <c r="AI301" s="247"/>
      <c r="AJ301" s="182"/>
      <c r="AK301" s="182"/>
      <c r="AL301" s="182"/>
      <c r="AM301" s="36"/>
      <c r="AN301" s="36"/>
      <c r="AO301" s="36"/>
      <c r="AP301" s="36"/>
    </row>
    <row r="302" spans="1:42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82"/>
      <c r="V302" s="182"/>
      <c r="W302" s="182"/>
      <c r="X302" s="182"/>
      <c r="Y302" s="182"/>
      <c r="Z302" s="182"/>
      <c r="AA302" s="182"/>
      <c r="AB302" s="182"/>
      <c r="AC302" s="182"/>
      <c r="AD302" s="182"/>
      <c r="AE302" s="182"/>
      <c r="AF302" s="182"/>
      <c r="AG302" s="182"/>
      <c r="AH302" s="247"/>
      <c r="AI302" s="247"/>
      <c r="AJ302" s="182"/>
      <c r="AK302" s="182"/>
      <c r="AL302" s="182"/>
      <c r="AM302" s="36"/>
      <c r="AN302" s="36"/>
      <c r="AO302" s="36"/>
      <c r="AP302" s="36"/>
    </row>
    <row r="303" spans="1:42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82"/>
      <c r="V303" s="182"/>
      <c r="W303" s="182"/>
      <c r="X303" s="182"/>
      <c r="Y303" s="182"/>
      <c r="Z303" s="182"/>
      <c r="AA303" s="182"/>
      <c r="AB303" s="182"/>
      <c r="AC303" s="182"/>
      <c r="AD303" s="182"/>
      <c r="AE303" s="182"/>
      <c r="AF303" s="182"/>
      <c r="AG303" s="182"/>
      <c r="AH303" s="247"/>
      <c r="AI303" s="247"/>
      <c r="AJ303" s="182"/>
      <c r="AK303" s="182"/>
      <c r="AL303" s="182"/>
      <c r="AM303" s="36"/>
      <c r="AN303" s="36"/>
      <c r="AO303" s="36"/>
      <c r="AP303" s="36"/>
    </row>
    <row r="304" spans="1:42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82"/>
      <c r="V304" s="182"/>
      <c r="W304" s="182"/>
      <c r="X304" s="182"/>
      <c r="Y304" s="182"/>
      <c r="Z304" s="182"/>
      <c r="AA304" s="182"/>
      <c r="AB304" s="182"/>
      <c r="AC304" s="182"/>
      <c r="AD304" s="182"/>
      <c r="AE304" s="182"/>
      <c r="AF304" s="182"/>
      <c r="AG304" s="182"/>
      <c r="AH304" s="247"/>
      <c r="AI304" s="247"/>
      <c r="AJ304" s="182"/>
      <c r="AK304" s="182"/>
      <c r="AL304" s="182"/>
      <c r="AM304" s="36"/>
      <c r="AN304" s="36"/>
      <c r="AO304" s="36"/>
      <c r="AP304" s="36"/>
    </row>
    <row r="305" spans="1:42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82"/>
      <c r="V305" s="182"/>
      <c r="W305" s="182"/>
      <c r="X305" s="182"/>
      <c r="Y305" s="182"/>
      <c r="Z305" s="182"/>
      <c r="AA305" s="182"/>
      <c r="AB305" s="182"/>
      <c r="AC305" s="182"/>
      <c r="AD305" s="182"/>
      <c r="AE305" s="182"/>
      <c r="AF305" s="182"/>
      <c r="AG305" s="182"/>
      <c r="AH305" s="247"/>
      <c r="AI305" s="247"/>
      <c r="AJ305" s="182"/>
      <c r="AK305" s="182"/>
      <c r="AL305" s="182"/>
      <c r="AM305" s="36"/>
      <c r="AN305" s="36"/>
      <c r="AO305" s="36"/>
      <c r="AP305" s="36"/>
    </row>
    <row r="306" spans="1:42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82"/>
      <c r="V306" s="182"/>
      <c r="W306" s="182"/>
      <c r="X306" s="182"/>
      <c r="Y306" s="182"/>
      <c r="Z306" s="182"/>
      <c r="AA306" s="182"/>
      <c r="AB306" s="182"/>
      <c r="AC306" s="182"/>
      <c r="AD306" s="182"/>
      <c r="AE306" s="182"/>
      <c r="AF306" s="182"/>
      <c r="AG306" s="182"/>
      <c r="AH306" s="247"/>
      <c r="AI306" s="247"/>
      <c r="AJ306" s="182"/>
      <c r="AK306" s="182"/>
      <c r="AL306" s="182"/>
      <c r="AM306" s="36"/>
      <c r="AN306" s="36"/>
      <c r="AO306" s="36"/>
      <c r="AP306" s="36"/>
    </row>
    <row r="307" spans="1:42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82"/>
      <c r="V307" s="182"/>
      <c r="W307" s="182"/>
      <c r="X307" s="182"/>
      <c r="Y307" s="182"/>
      <c r="Z307" s="182"/>
      <c r="AA307" s="182"/>
      <c r="AB307" s="182"/>
      <c r="AC307" s="182"/>
      <c r="AD307" s="182"/>
      <c r="AE307" s="182"/>
      <c r="AF307" s="182"/>
      <c r="AG307" s="182"/>
      <c r="AH307" s="247"/>
      <c r="AI307" s="247"/>
      <c r="AJ307" s="182"/>
      <c r="AK307" s="182"/>
      <c r="AL307" s="182"/>
      <c r="AM307" s="36"/>
      <c r="AN307" s="36"/>
      <c r="AO307" s="36"/>
      <c r="AP307" s="36"/>
    </row>
    <row r="308" spans="1:42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82"/>
      <c r="V308" s="182"/>
      <c r="W308" s="182"/>
      <c r="X308" s="182"/>
      <c r="Y308" s="182"/>
      <c r="Z308" s="182"/>
      <c r="AA308" s="182"/>
      <c r="AB308" s="182"/>
      <c r="AC308" s="182"/>
      <c r="AD308" s="182"/>
      <c r="AE308" s="182"/>
      <c r="AF308" s="182"/>
      <c r="AG308" s="182"/>
      <c r="AH308" s="247"/>
      <c r="AI308" s="247"/>
      <c r="AJ308" s="182"/>
      <c r="AK308" s="182"/>
      <c r="AL308" s="182"/>
      <c r="AM308" s="36"/>
      <c r="AN308" s="36"/>
      <c r="AO308" s="36"/>
      <c r="AP308" s="36"/>
    </row>
    <row r="309" spans="1:42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82"/>
      <c r="V309" s="182"/>
      <c r="W309" s="182"/>
      <c r="X309" s="182"/>
      <c r="Y309" s="182"/>
      <c r="Z309" s="182"/>
      <c r="AA309" s="182"/>
      <c r="AB309" s="182"/>
      <c r="AC309" s="182"/>
      <c r="AD309" s="182"/>
      <c r="AE309" s="182"/>
      <c r="AF309" s="182"/>
      <c r="AG309" s="182"/>
      <c r="AH309" s="247"/>
      <c r="AI309" s="247"/>
      <c r="AJ309" s="182"/>
      <c r="AK309" s="182"/>
      <c r="AL309" s="182"/>
      <c r="AM309" s="36"/>
      <c r="AN309" s="36"/>
      <c r="AO309" s="36"/>
      <c r="AP309" s="36"/>
    </row>
    <row r="310" spans="1:42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82"/>
      <c r="V310" s="182"/>
      <c r="W310" s="182"/>
      <c r="X310" s="182"/>
      <c r="Y310" s="182"/>
      <c r="Z310" s="182"/>
      <c r="AA310" s="182"/>
      <c r="AB310" s="182"/>
      <c r="AC310" s="182"/>
      <c r="AD310" s="182"/>
      <c r="AE310" s="182"/>
      <c r="AF310" s="182"/>
      <c r="AG310" s="182"/>
      <c r="AH310" s="247"/>
      <c r="AI310" s="247"/>
      <c r="AJ310" s="182"/>
      <c r="AK310" s="182"/>
      <c r="AL310" s="182"/>
      <c r="AM310" s="36"/>
      <c r="AN310" s="36"/>
      <c r="AO310" s="36"/>
      <c r="AP310" s="36"/>
    </row>
    <row r="311" spans="1:42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82"/>
      <c r="V311" s="182"/>
      <c r="W311" s="182"/>
      <c r="X311" s="182"/>
      <c r="Y311" s="182"/>
      <c r="Z311" s="182"/>
      <c r="AA311" s="182"/>
      <c r="AB311" s="182"/>
      <c r="AC311" s="182"/>
      <c r="AD311" s="182"/>
      <c r="AE311" s="182"/>
      <c r="AF311" s="182"/>
      <c r="AG311" s="182"/>
      <c r="AH311" s="247"/>
      <c r="AI311" s="247"/>
      <c r="AJ311" s="182"/>
      <c r="AK311" s="182"/>
      <c r="AL311" s="182"/>
      <c r="AM311" s="36"/>
      <c r="AN311" s="36"/>
      <c r="AO311" s="36"/>
      <c r="AP311" s="36"/>
    </row>
    <row r="312" spans="1:42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82"/>
      <c r="V312" s="182"/>
      <c r="W312" s="182"/>
      <c r="X312" s="182"/>
      <c r="Y312" s="182"/>
      <c r="Z312" s="182"/>
      <c r="AA312" s="182"/>
      <c r="AB312" s="182"/>
      <c r="AC312" s="182"/>
      <c r="AD312" s="182"/>
      <c r="AE312" s="182"/>
      <c r="AF312" s="182"/>
      <c r="AG312" s="182"/>
      <c r="AH312" s="247"/>
      <c r="AI312" s="247"/>
      <c r="AJ312" s="182"/>
      <c r="AK312" s="182"/>
      <c r="AL312" s="182"/>
      <c r="AM312" s="36"/>
      <c r="AN312" s="36"/>
      <c r="AO312" s="36"/>
      <c r="AP312" s="36"/>
    </row>
    <row r="313" spans="1:42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82"/>
      <c r="V313" s="182"/>
      <c r="W313" s="182"/>
      <c r="X313" s="182"/>
      <c r="Y313" s="182"/>
      <c r="Z313" s="182"/>
      <c r="AA313" s="182"/>
      <c r="AB313" s="182"/>
      <c r="AC313" s="182"/>
      <c r="AD313" s="182"/>
      <c r="AE313" s="182"/>
      <c r="AF313" s="182"/>
      <c r="AG313" s="182"/>
      <c r="AH313" s="247"/>
      <c r="AI313" s="247"/>
      <c r="AJ313" s="182"/>
      <c r="AK313" s="182"/>
      <c r="AL313" s="182"/>
      <c r="AM313" s="36"/>
      <c r="AN313" s="36"/>
      <c r="AO313" s="36"/>
      <c r="AP313" s="36"/>
    </row>
    <row r="314" spans="1:42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82"/>
      <c r="V314" s="182"/>
      <c r="W314" s="182"/>
      <c r="X314" s="182"/>
      <c r="Y314" s="182"/>
      <c r="Z314" s="182"/>
      <c r="AA314" s="182"/>
      <c r="AB314" s="182"/>
      <c r="AC314" s="182"/>
      <c r="AD314" s="182"/>
      <c r="AE314" s="182"/>
      <c r="AF314" s="182"/>
      <c r="AG314" s="182"/>
      <c r="AH314" s="247"/>
      <c r="AI314" s="247"/>
      <c r="AJ314" s="182"/>
      <c r="AK314" s="182"/>
      <c r="AL314" s="182"/>
      <c r="AM314" s="36"/>
      <c r="AN314" s="36"/>
      <c r="AO314" s="36"/>
      <c r="AP314" s="36"/>
    </row>
    <row r="315" spans="1:42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82"/>
      <c r="V315" s="182"/>
      <c r="W315" s="182"/>
      <c r="X315" s="182"/>
      <c r="Y315" s="182"/>
      <c r="Z315" s="182"/>
      <c r="AA315" s="182"/>
      <c r="AB315" s="182"/>
      <c r="AC315" s="182"/>
      <c r="AD315" s="182"/>
      <c r="AE315" s="182"/>
      <c r="AF315" s="182"/>
      <c r="AG315" s="182"/>
      <c r="AH315" s="247"/>
      <c r="AI315" s="247"/>
      <c r="AJ315" s="182"/>
      <c r="AK315" s="182"/>
      <c r="AL315" s="182"/>
      <c r="AM315" s="36"/>
      <c r="AN315" s="36"/>
      <c r="AO315" s="36"/>
      <c r="AP315" s="36"/>
    </row>
    <row r="316" spans="1:42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82"/>
      <c r="V316" s="182"/>
      <c r="W316" s="182"/>
      <c r="X316" s="182"/>
      <c r="Y316" s="182"/>
      <c r="Z316" s="182"/>
      <c r="AA316" s="182"/>
      <c r="AB316" s="182"/>
      <c r="AC316" s="182"/>
      <c r="AD316" s="182"/>
      <c r="AE316" s="182"/>
      <c r="AF316" s="182"/>
      <c r="AG316" s="182"/>
      <c r="AH316" s="247"/>
      <c r="AI316" s="247"/>
      <c r="AJ316" s="182"/>
      <c r="AK316" s="182"/>
      <c r="AL316" s="182"/>
      <c r="AM316" s="36"/>
      <c r="AN316" s="36"/>
      <c r="AO316" s="36"/>
      <c r="AP316" s="36"/>
    </row>
    <row r="317" spans="1:42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82"/>
      <c r="V317" s="182"/>
      <c r="W317" s="182"/>
      <c r="X317" s="182"/>
      <c r="Y317" s="182"/>
      <c r="Z317" s="182"/>
      <c r="AA317" s="182"/>
      <c r="AB317" s="182"/>
      <c r="AC317" s="182"/>
      <c r="AD317" s="182"/>
      <c r="AE317" s="182"/>
      <c r="AF317" s="182"/>
      <c r="AG317" s="182"/>
      <c r="AH317" s="247"/>
      <c r="AI317" s="247"/>
      <c r="AJ317" s="182"/>
      <c r="AK317" s="182"/>
      <c r="AL317" s="182"/>
      <c r="AM317" s="36"/>
      <c r="AN317" s="36"/>
      <c r="AO317" s="36"/>
      <c r="AP317" s="36"/>
    </row>
    <row r="318" spans="1:42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247"/>
      <c r="AI318" s="247"/>
      <c r="AJ318" s="182"/>
      <c r="AK318" s="182"/>
      <c r="AL318" s="182"/>
      <c r="AM318" s="36"/>
      <c r="AN318" s="36"/>
      <c r="AO318" s="36"/>
      <c r="AP318" s="36"/>
    </row>
    <row r="319" spans="1:42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247"/>
      <c r="AI319" s="247"/>
      <c r="AJ319" s="182"/>
      <c r="AK319" s="182"/>
      <c r="AL319" s="182"/>
      <c r="AM319" s="36"/>
      <c r="AN319" s="36"/>
      <c r="AO319" s="36"/>
      <c r="AP319" s="36"/>
    </row>
    <row r="320" spans="1:42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247"/>
      <c r="AI320" s="247"/>
      <c r="AJ320" s="182"/>
      <c r="AK320" s="182"/>
      <c r="AL320" s="182"/>
      <c r="AM320" s="36"/>
      <c r="AN320" s="36"/>
      <c r="AO320" s="36"/>
      <c r="AP320" s="36"/>
    </row>
    <row r="321" spans="1:42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247"/>
      <c r="AI321" s="247"/>
      <c r="AJ321" s="182"/>
      <c r="AK321" s="182"/>
      <c r="AL321" s="182"/>
      <c r="AM321" s="36"/>
      <c r="AN321" s="36"/>
      <c r="AO321" s="36"/>
      <c r="AP321" s="36"/>
    </row>
    <row r="322" spans="1:42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247"/>
      <c r="AI322" s="247"/>
      <c r="AJ322" s="182"/>
      <c r="AK322" s="182"/>
      <c r="AL322" s="182"/>
      <c r="AM322" s="36"/>
      <c r="AN322" s="36"/>
      <c r="AO322" s="36"/>
      <c r="AP322" s="36"/>
    </row>
    <row r="323" spans="1:42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82"/>
      <c r="V323" s="182"/>
      <c r="W323" s="182"/>
      <c r="X323" s="182"/>
      <c r="Y323" s="182"/>
      <c r="Z323" s="182"/>
      <c r="AA323" s="182"/>
      <c r="AB323" s="182"/>
      <c r="AC323" s="182"/>
      <c r="AD323" s="182"/>
      <c r="AE323" s="182"/>
      <c r="AF323" s="182"/>
      <c r="AG323" s="182"/>
      <c r="AH323" s="247"/>
      <c r="AI323" s="247"/>
      <c r="AJ323" s="182"/>
      <c r="AK323" s="182"/>
      <c r="AL323" s="182"/>
      <c r="AM323" s="36"/>
      <c r="AN323" s="36"/>
      <c r="AO323" s="36"/>
      <c r="AP323" s="36"/>
    </row>
    <row r="324" spans="1:42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82"/>
      <c r="V324" s="182"/>
      <c r="W324" s="182"/>
      <c r="X324" s="182"/>
      <c r="Y324" s="182"/>
      <c r="Z324" s="182"/>
      <c r="AA324" s="182"/>
      <c r="AB324" s="182"/>
      <c r="AC324" s="182"/>
      <c r="AD324" s="182"/>
      <c r="AE324" s="182"/>
      <c r="AF324" s="182"/>
      <c r="AG324" s="182"/>
      <c r="AH324" s="247"/>
      <c r="AI324" s="247"/>
      <c r="AJ324" s="182"/>
      <c r="AK324" s="182"/>
      <c r="AL324" s="182"/>
      <c r="AM324" s="36"/>
      <c r="AN324" s="36"/>
      <c r="AO324" s="36"/>
      <c r="AP324" s="36"/>
    </row>
    <row r="325" spans="1:42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82"/>
      <c r="V325" s="182"/>
      <c r="W325" s="182"/>
      <c r="X325" s="182"/>
      <c r="Y325" s="182"/>
      <c r="Z325" s="182"/>
      <c r="AA325" s="182"/>
      <c r="AB325" s="182"/>
      <c r="AC325" s="182"/>
      <c r="AD325" s="182"/>
      <c r="AE325" s="182"/>
      <c r="AF325" s="182"/>
      <c r="AG325" s="182"/>
      <c r="AH325" s="247"/>
      <c r="AI325" s="247"/>
      <c r="AJ325" s="182"/>
      <c r="AK325" s="182"/>
      <c r="AL325" s="182"/>
      <c r="AM325" s="36"/>
      <c r="AN325" s="36"/>
      <c r="AO325" s="36"/>
      <c r="AP325" s="36"/>
    </row>
    <row r="326" spans="1:42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82"/>
      <c r="V326" s="182"/>
      <c r="W326" s="182"/>
      <c r="X326" s="182"/>
      <c r="Y326" s="182"/>
      <c r="Z326" s="182"/>
      <c r="AA326" s="182"/>
      <c r="AB326" s="182"/>
      <c r="AC326" s="182"/>
      <c r="AD326" s="182"/>
      <c r="AE326" s="182"/>
      <c r="AF326" s="182"/>
      <c r="AG326" s="182"/>
      <c r="AH326" s="247"/>
      <c r="AI326" s="247"/>
      <c r="AJ326" s="182"/>
      <c r="AK326" s="182"/>
      <c r="AL326" s="182"/>
      <c r="AM326" s="36"/>
      <c r="AN326" s="36"/>
      <c r="AO326" s="36"/>
      <c r="AP326" s="36"/>
    </row>
    <row r="327" spans="1:42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82"/>
      <c r="V327" s="182"/>
      <c r="W327" s="182"/>
      <c r="X327" s="182"/>
      <c r="Y327" s="182"/>
      <c r="Z327" s="182"/>
      <c r="AA327" s="182"/>
      <c r="AB327" s="182"/>
      <c r="AC327" s="182"/>
      <c r="AD327" s="182"/>
      <c r="AE327" s="182"/>
      <c r="AF327" s="182"/>
      <c r="AG327" s="182"/>
      <c r="AH327" s="247"/>
      <c r="AI327" s="247"/>
      <c r="AJ327" s="182"/>
      <c r="AK327" s="182"/>
      <c r="AL327" s="182"/>
      <c r="AM327" s="36"/>
      <c r="AN327" s="36"/>
      <c r="AO327" s="36"/>
      <c r="AP327" s="36"/>
    </row>
    <row r="328" spans="1:42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82"/>
      <c r="V328" s="182"/>
      <c r="W328" s="182"/>
      <c r="X328" s="182"/>
      <c r="Y328" s="182"/>
      <c r="Z328" s="182"/>
      <c r="AA328" s="182"/>
      <c r="AB328" s="182"/>
      <c r="AC328" s="182"/>
      <c r="AD328" s="182"/>
      <c r="AE328" s="182"/>
      <c r="AF328" s="182"/>
      <c r="AG328" s="182"/>
      <c r="AH328" s="247"/>
      <c r="AI328" s="247"/>
      <c r="AJ328" s="182"/>
      <c r="AK328" s="182"/>
      <c r="AL328" s="182"/>
      <c r="AM328" s="36"/>
      <c r="AN328" s="36"/>
      <c r="AO328" s="36"/>
      <c r="AP328" s="36"/>
    </row>
    <row r="329" spans="1:42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82"/>
      <c r="V329" s="182"/>
      <c r="W329" s="182"/>
      <c r="X329" s="182"/>
      <c r="Y329" s="182"/>
      <c r="Z329" s="182"/>
      <c r="AA329" s="182"/>
      <c r="AB329" s="182"/>
      <c r="AC329" s="182"/>
      <c r="AD329" s="182"/>
      <c r="AE329" s="182"/>
      <c r="AF329" s="182"/>
      <c r="AG329" s="182"/>
      <c r="AH329" s="247"/>
      <c r="AI329" s="247"/>
      <c r="AJ329" s="182"/>
      <c r="AK329" s="182"/>
      <c r="AL329" s="182"/>
      <c r="AM329" s="36"/>
      <c r="AN329" s="36"/>
      <c r="AO329" s="36"/>
      <c r="AP329" s="36"/>
    </row>
    <row r="330" spans="1:42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82"/>
      <c r="V330" s="182"/>
      <c r="W330" s="182"/>
      <c r="X330" s="182"/>
      <c r="Y330" s="182"/>
      <c r="Z330" s="182"/>
      <c r="AA330" s="182"/>
      <c r="AB330" s="182"/>
      <c r="AC330" s="182"/>
      <c r="AD330" s="182"/>
      <c r="AE330" s="182"/>
      <c r="AF330" s="182"/>
      <c r="AG330" s="182"/>
      <c r="AH330" s="247"/>
      <c r="AI330" s="247"/>
      <c r="AJ330" s="182"/>
      <c r="AK330" s="182"/>
      <c r="AL330" s="182"/>
      <c r="AM330" s="36"/>
      <c r="AN330" s="36"/>
      <c r="AO330" s="36"/>
      <c r="AP330" s="36"/>
    </row>
    <row r="331" spans="1:42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82"/>
      <c r="V331" s="182"/>
      <c r="W331" s="182"/>
      <c r="X331" s="182"/>
      <c r="Y331" s="182"/>
      <c r="Z331" s="182"/>
      <c r="AA331" s="182"/>
      <c r="AB331" s="182"/>
      <c r="AC331" s="182"/>
      <c r="AD331" s="182"/>
      <c r="AE331" s="182"/>
      <c r="AF331" s="182"/>
      <c r="AG331" s="182"/>
      <c r="AH331" s="247"/>
      <c r="AI331" s="247"/>
      <c r="AJ331" s="182"/>
      <c r="AK331" s="182"/>
      <c r="AL331" s="182"/>
      <c r="AM331" s="36"/>
      <c r="AN331" s="36"/>
      <c r="AO331" s="36"/>
      <c r="AP331" s="36"/>
    </row>
    <row r="332" spans="1:42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82"/>
      <c r="V332" s="182"/>
      <c r="W332" s="182"/>
      <c r="X332" s="182"/>
      <c r="Y332" s="182"/>
      <c r="Z332" s="182"/>
      <c r="AA332" s="182"/>
      <c r="AB332" s="182"/>
      <c r="AC332" s="182"/>
      <c r="AD332" s="182"/>
      <c r="AE332" s="182"/>
      <c r="AF332" s="182"/>
      <c r="AG332" s="182"/>
      <c r="AH332" s="247"/>
      <c r="AI332" s="247"/>
      <c r="AJ332" s="182"/>
      <c r="AK332" s="182"/>
      <c r="AL332" s="182"/>
      <c r="AM332" s="36"/>
      <c r="AN332" s="36"/>
      <c r="AO332" s="36"/>
      <c r="AP332" s="36"/>
    </row>
    <row r="333" spans="1:42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82"/>
      <c r="V333" s="182"/>
      <c r="W333" s="182"/>
      <c r="X333" s="182"/>
      <c r="Y333" s="182"/>
      <c r="Z333" s="182"/>
      <c r="AA333" s="182"/>
      <c r="AB333" s="182"/>
      <c r="AC333" s="182"/>
      <c r="AD333" s="182"/>
      <c r="AE333" s="182"/>
      <c r="AF333" s="182"/>
      <c r="AG333" s="182"/>
      <c r="AH333" s="247"/>
      <c r="AI333" s="247"/>
      <c r="AJ333" s="182"/>
      <c r="AK333" s="182"/>
      <c r="AL333" s="182"/>
      <c r="AM333" s="36"/>
      <c r="AN333" s="36"/>
      <c r="AO333" s="36"/>
      <c r="AP333" s="36"/>
    </row>
    <row r="334" spans="1:42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82"/>
      <c r="V334" s="182"/>
      <c r="W334" s="182"/>
      <c r="X334" s="182"/>
      <c r="Y334" s="182"/>
      <c r="Z334" s="182"/>
      <c r="AA334" s="182"/>
      <c r="AB334" s="182"/>
      <c r="AC334" s="182"/>
      <c r="AD334" s="182"/>
      <c r="AE334" s="182"/>
      <c r="AF334" s="182"/>
      <c r="AG334" s="182"/>
      <c r="AH334" s="247"/>
      <c r="AI334" s="247"/>
      <c r="AJ334" s="182"/>
      <c r="AK334" s="182"/>
      <c r="AL334" s="182"/>
      <c r="AM334" s="36"/>
      <c r="AN334" s="36"/>
      <c r="AO334" s="36"/>
      <c r="AP334" s="36"/>
    </row>
    <row r="335" spans="1:42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82"/>
      <c r="V335" s="182"/>
      <c r="W335" s="182"/>
      <c r="X335" s="182"/>
      <c r="Y335" s="182"/>
      <c r="Z335" s="182"/>
      <c r="AA335" s="182"/>
      <c r="AB335" s="182"/>
      <c r="AC335" s="182"/>
      <c r="AD335" s="182"/>
      <c r="AE335" s="182"/>
      <c r="AF335" s="182"/>
      <c r="AG335" s="182"/>
      <c r="AH335" s="247"/>
      <c r="AI335" s="247"/>
      <c r="AJ335" s="182"/>
      <c r="AK335" s="182"/>
      <c r="AL335" s="182"/>
      <c r="AM335" s="36"/>
      <c r="AN335" s="36"/>
      <c r="AO335" s="36"/>
      <c r="AP335" s="36"/>
    </row>
    <row r="336" spans="1:42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82"/>
      <c r="V336" s="182"/>
      <c r="W336" s="182"/>
      <c r="X336" s="182"/>
      <c r="Y336" s="182"/>
      <c r="Z336" s="182"/>
      <c r="AA336" s="182"/>
      <c r="AB336" s="182"/>
      <c r="AC336" s="182"/>
      <c r="AD336" s="182"/>
      <c r="AE336" s="182"/>
      <c r="AF336" s="182"/>
      <c r="AG336" s="182"/>
      <c r="AH336" s="247"/>
      <c r="AI336" s="247"/>
      <c r="AJ336" s="182"/>
      <c r="AK336" s="182"/>
      <c r="AL336" s="182"/>
      <c r="AM336" s="36"/>
      <c r="AN336" s="36"/>
      <c r="AO336" s="36"/>
      <c r="AP336" s="36"/>
    </row>
    <row r="337" spans="1:42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82"/>
      <c r="V337" s="182"/>
      <c r="W337" s="182"/>
      <c r="X337" s="182"/>
      <c r="Y337" s="182"/>
      <c r="Z337" s="182"/>
      <c r="AA337" s="182"/>
      <c r="AB337" s="182"/>
      <c r="AC337" s="182"/>
      <c r="AD337" s="182"/>
      <c r="AE337" s="182"/>
      <c r="AF337" s="182"/>
      <c r="AG337" s="182"/>
      <c r="AH337" s="247"/>
      <c r="AI337" s="247"/>
      <c r="AJ337" s="182"/>
      <c r="AK337" s="182"/>
      <c r="AL337" s="182"/>
      <c r="AM337" s="36"/>
      <c r="AN337" s="36"/>
      <c r="AO337" s="36"/>
      <c r="AP337" s="36"/>
    </row>
    <row r="338" spans="1:42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82"/>
      <c r="V338" s="182"/>
      <c r="W338" s="182"/>
      <c r="X338" s="182"/>
      <c r="Y338" s="182"/>
      <c r="Z338" s="182"/>
      <c r="AA338" s="182"/>
      <c r="AB338" s="182"/>
      <c r="AC338" s="182"/>
      <c r="AD338" s="182"/>
      <c r="AE338" s="182"/>
      <c r="AF338" s="182"/>
      <c r="AG338" s="182"/>
      <c r="AH338" s="247"/>
      <c r="AI338" s="247"/>
      <c r="AJ338" s="182"/>
      <c r="AK338" s="182"/>
      <c r="AL338" s="182"/>
      <c r="AM338" s="36"/>
      <c r="AN338" s="36"/>
      <c r="AO338" s="36"/>
      <c r="AP338" s="36"/>
    </row>
    <row r="339" spans="1:42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82"/>
      <c r="V339" s="182"/>
      <c r="W339" s="182"/>
      <c r="X339" s="182"/>
      <c r="Y339" s="182"/>
      <c r="Z339" s="182"/>
      <c r="AA339" s="182"/>
      <c r="AB339" s="182"/>
      <c r="AC339" s="182"/>
      <c r="AD339" s="182"/>
      <c r="AE339" s="182"/>
      <c r="AF339" s="182"/>
      <c r="AG339" s="182"/>
      <c r="AH339" s="247"/>
      <c r="AI339" s="247"/>
      <c r="AJ339" s="182"/>
      <c r="AK339" s="182"/>
      <c r="AL339" s="182"/>
      <c r="AM339" s="36"/>
      <c r="AN339" s="36"/>
      <c r="AO339" s="36"/>
      <c r="AP339" s="36"/>
    </row>
    <row r="340" spans="1:42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82"/>
      <c r="V340" s="182"/>
      <c r="W340" s="182"/>
      <c r="X340" s="182"/>
      <c r="Y340" s="182"/>
      <c r="Z340" s="182"/>
      <c r="AA340" s="182"/>
      <c r="AB340" s="182"/>
      <c r="AC340" s="182"/>
      <c r="AD340" s="182"/>
      <c r="AE340" s="182"/>
      <c r="AF340" s="182"/>
      <c r="AG340" s="182"/>
      <c r="AH340" s="247"/>
      <c r="AI340" s="247"/>
      <c r="AJ340" s="182"/>
      <c r="AK340" s="182"/>
      <c r="AL340" s="182"/>
      <c r="AM340" s="36"/>
      <c r="AN340" s="36"/>
      <c r="AO340" s="36"/>
      <c r="AP340" s="36"/>
    </row>
    <row r="341" spans="1:42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82"/>
      <c r="V341" s="182"/>
      <c r="W341" s="182"/>
      <c r="X341" s="182"/>
      <c r="Y341" s="182"/>
      <c r="Z341" s="182"/>
      <c r="AA341" s="182"/>
      <c r="AB341" s="182"/>
      <c r="AC341" s="182"/>
      <c r="AD341" s="182"/>
      <c r="AE341" s="182"/>
      <c r="AF341" s="182"/>
      <c r="AG341" s="182"/>
      <c r="AH341" s="247"/>
      <c r="AI341" s="247"/>
      <c r="AJ341" s="182"/>
      <c r="AK341" s="182"/>
      <c r="AL341" s="182"/>
      <c r="AM341" s="36"/>
      <c r="AN341" s="36"/>
      <c r="AO341" s="36"/>
      <c r="AP341" s="36"/>
    </row>
    <row r="342" spans="1:42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82"/>
      <c r="V342" s="182"/>
      <c r="W342" s="182"/>
      <c r="X342" s="182"/>
      <c r="Y342" s="182"/>
      <c r="Z342" s="182"/>
      <c r="AA342" s="182"/>
      <c r="AB342" s="182"/>
      <c r="AC342" s="182"/>
      <c r="AD342" s="182"/>
      <c r="AE342" s="182"/>
      <c r="AF342" s="182"/>
      <c r="AG342" s="182"/>
      <c r="AH342" s="247"/>
      <c r="AI342" s="247"/>
      <c r="AJ342" s="182"/>
      <c r="AK342" s="182"/>
      <c r="AL342" s="182"/>
      <c r="AM342" s="36"/>
      <c r="AN342" s="36"/>
      <c r="AO342" s="36"/>
      <c r="AP342" s="36"/>
    </row>
    <row r="343" spans="1:42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82"/>
      <c r="V343" s="182"/>
      <c r="W343" s="182"/>
      <c r="X343" s="182"/>
      <c r="Y343" s="182"/>
      <c r="Z343" s="182"/>
      <c r="AA343" s="182"/>
      <c r="AB343" s="182"/>
      <c r="AC343" s="182"/>
      <c r="AD343" s="182"/>
      <c r="AE343" s="182"/>
      <c r="AF343" s="182"/>
      <c r="AG343" s="182"/>
      <c r="AH343" s="247"/>
      <c r="AI343" s="247"/>
      <c r="AJ343" s="182"/>
      <c r="AK343" s="182"/>
      <c r="AL343" s="182"/>
      <c r="AM343" s="36"/>
      <c r="AN343" s="36"/>
      <c r="AO343" s="36"/>
      <c r="AP343" s="36"/>
    </row>
    <row r="344" spans="1:42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82"/>
      <c r="V344" s="182"/>
      <c r="W344" s="182"/>
      <c r="X344" s="182"/>
      <c r="Y344" s="182"/>
      <c r="Z344" s="182"/>
      <c r="AA344" s="182"/>
      <c r="AB344" s="182"/>
      <c r="AC344" s="182"/>
      <c r="AD344" s="182"/>
      <c r="AE344" s="182"/>
      <c r="AF344" s="182"/>
      <c r="AG344" s="182"/>
      <c r="AH344" s="247"/>
      <c r="AI344" s="247"/>
      <c r="AJ344" s="182"/>
      <c r="AK344" s="182"/>
      <c r="AL344" s="182"/>
      <c r="AM344" s="36"/>
      <c r="AN344" s="36"/>
      <c r="AO344" s="36"/>
      <c r="AP344" s="36"/>
    </row>
    <row r="345" spans="1:42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82"/>
      <c r="V345" s="182"/>
      <c r="W345" s="182"/>
      <c r="X345" s="182"/>
      <c r="Y345" s="182"/>
      <c r="Z345" s="182"/>
      <c r="AA345" s="182"/>
      <c r="AB345" s="182"/>
      <c r="AC345" s="182"/>
      <c r="AD345" s="182"/>
      <c r="AE345" s="182"/>
      <c r="AF345" s="182"/>
      <c r="AG345" s="182"/>
      <c r="AH345" s="247"/>
      <c r="AI345" s="247"/>
      <c r="AJ345" s="182"/>
      <c r="AK345" s="182"/>
      <c r="AL345" s="182"/>
      <c r="AM345" s="36"/>
      <c r="AN345" s="36"/>
      <c r="AO345" s="36"/>
      <c r="AP345" s="36"/>
    </row>
    <row r="346" spans="1:42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82"/>
      <c r="V346" s="182"/>
      <c r="W346" s="182"/>
      <c r="X346" s="182"/>
      <c r="Y346" s="182"/>
      <c r="Z346" s="182"/>
      <c r="AA346" s="182"/>
      <c r="AB346" s="182"/>
      <c r="AC346" s="182"/>
      <c r="AD346" s="182"/>
      <c r="AE346" s="182"/>
      <c r="AF346" s="182"/>
      <c r="AG346" s="182"/>
      <c r="AH346" s="247"/>
      <c r="AI346" s="247"/>
      <c r="AJ346" s="182"/>
      <c r="AK346" s="182"/>
      <c r="AL346" s="182"/>
      <c r="AM346" s="36"/>
      <c r="AN346" s="36"/>
      <c r="AO346" s="36"/>
      <c r="AP346" s="36"/>
    </row>
    <row r="347" spans="1:42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82"/>
      <c r="V347" s="182"/>
      <c r="W347" s="182"/>
      <c r="X347" s="182"/>
      <c r="Y347" s="182"/>
      <c r="Z347" s="182"/>
      <c r="AA347" s="182"/>
      <c r="AB347" s="182"/>
      <c r="AC347" s="182"/>
      <c r="AD347" s="182"/>
      <c r="AE347" s="182"/>
      <c r="AF347" s="182"/>
      <c r="AG347" s="182"/>
      <c r="AH347" s="247"/>
      <c r="AI347" s="247"/>
      <c r="AJ347" s="182"/>
      <c r="AK347" s="182"/>
      <c r="AL347" s="182"/>
      <c r="AM347" s="36"/>
      <c r="AN347" s="36"/>
      <c r="AO347" s="36"/>
      <c r="AP347" s="36"/>
    </row>
    <row r="348" spans="1:42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82"/>
      <c r="V348" s="182"/>
      <c r="W348" s="182"/>
      <c r="X348" s="182"/>
      <c r="Y348" s="182"/>
      <c r="Z348" s="182"/>
      <c r="AA348" s="182"/>
      <c r="AB348" s="182"/>
      <c r="AC348" s="182"/>
      <c r="AD348" s="182"/>
      <c r="AE348" s="182"/>
      <c r="AF348" s="182"/>
      <c r="AG348" s="182"/>
      <c r="AH348" s="247"/>
      <c r="AI348" s="247"/>
      <c r="AJ348" s="182"/>
      <c r="AK348" s="182"/>
      <c r="AL348" s="182"/>
      <c r="AM348" s="36"/>
      <c r="AN348" s="36"/>
      <c r="AO348" s="36"/>
      <c r="AP348" s="36"/>
    </row>
    <row r="349" spans="1:42">
      <c r="S349" s="12"/>
      <c r="T349" s="12"/>
      <c r="U349" s="182"/>
      <c r="V349" s="182"/>
      <c r="W349" s="182"/>
      <c r="X349" s="182"/>
      <c r="Y349" s="182"/>
      <c r="Z349" s="182"/>
      <c r="AA349" s="182"/>
      <c r="AB349" s="182"/>
      <c r="AC349" s="182"/>
      <c r="AD349" s="182"/>
      <c r="AE349" s="182"/>
      <c r="AF349" s="182"/>
      <c r="AG349" s="182"/>
      <c r="AH349" s="247"/>
      <c r="AI349" s="247"/>
      <c r="AJ349" s="182"/>
      <c r="AK349" s="182"/>
      <c r="AL349" s="182"/>
      <c r="AM349" s="36"/>
      <c r="AN349" s="36"/>
      <c r="AO349" s="36"/>
      <c r="AP349" s="36"/>
    </row>
    <row r="350" spans="1:42"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</row>
    <row r="351" spans="1:42"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</row>
    <row r="352" spans="1:42"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</row>
    <row r="353" spans="20:42"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</row>
    <row r="354" spans="20:42"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</row>
    <row r="355" spans="20:42"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</row>
    <row r="356" spans="20:42"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</row>
    <row r="357" spans="20:42"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</row>
    <row r="358" spans="20:42"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</row>
    <row r="359" spans="20:42"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</row>
    <row r="360" spans="20:42"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</row>
    <row r="361" spans="20:42"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</row>
    <row r="362" spans="20:42"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</row>
    <row r="363" spans="20:42"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</row>
    <row r="364" spans="20:42"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</row>
    <row r="365" spans="20:42"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</row>
    <row r="366" spans="20:42"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</row>
    <row r="367" spans="20:42"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</row>
    <row r="368" spans="20:42"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</row>
    <row r="369" spans="20:42"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</row>
    <row r="370" spans="20:42"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</row>
    <row r="371" spans="20:42"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</row>
    <row r="372" spans="20:42"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</row>
    <row r="373" spans="20:42"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</row>
    <row r="374" spans="20:42"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</row>
    <row r="375" spans="20:42"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</row>
    <row r="376" spans="20:42"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</row>
    <row r="377" spans="20:42"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</row>
    <row r="378" spans="20:42"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</row>
    <row r="379" spans="20:42"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</row>
    <row r="380" spans="20:42"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</row>
    <row r="381" spans="20:42"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</row>
    <row r="382" spans="20:42"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</row>
    <row r="383" spans="20:42"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</row>
    <row r="384" spans="20:42"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</row>
    <row r="385" spans="20:42"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</row>
    <row r="386" spans="20:42"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</row>
    <row r="387" spans="20:42"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</row>
    <row r="388" spans="20:42"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</row>
    <row r="389" spans="20:42"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</row>
    <row r="390" spans="20:42"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</row>
    <row r="391" spans="20:42"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</row>
    <row r="392" spans="20:42"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</row>
    <row r="393" spans="20:42"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</row>
    <row r="394" spans="20:42"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</row>
    <row r="395" spans="20:42"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</row>
    <row r="396" spans="20:42"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</row>
    <row r="397" spans="20:42"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</row>
    <row r="398" spans="20:42"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</row>
    <row r="399" spans="20:42"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</row>
    <row r="400" spans="20:42"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</row>
    <row r="401" spans="20:42"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</row>
    <row r="402" spans="20:42"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</row>
    <row r="403" spans="20:42"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</row>
    <row r="404" spans="20:42"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</row>
    <row r="405" spans="20:42"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</row>
    <row r="406" spans="20:42"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</row>
    <row r="407" spans="20:42"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</row>
    <row r="408" spans="20:42"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</row>
    <row r="409" spans="20:42"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</row>
    <row r="410" spans="20:42"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</row>
    <row r="411" spans="20:42"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</row>
    <row r="412" spans="20:42"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</row>
    <row r="413" spans="20:42"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</row>
  </sheetData>
  <phoneticPr fontId="10" type="noConversion"/>
  <pageMargins left="0.85" right="0.25" top="1" bottom="1" header="0.5" footer="0.5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I145"/>
  <sheetViews>
    <sheetView tabSelected="1" zoomScale="90" zoomScaleNormal="90" workbookViewId="0">
      <selection activeCell="T84" sqref="T84"/>
    </sheetView>
  </sheetViews>
  <sheetFormatPr defaultColWidth="9.6640625" defaultRowHeight="15"/>
  <cols>
    <col min="1" max="1" width="7.6640625" style="1" customWidth="1"/>
    <col min="2" max="2" width="8.6640625" style="1" customWidth="1"/>
    <col min="3" max="3" width="2.6640625" style="1" customWidth="1"/>
    <col min="4" max="4" width="8.77734375" style="1" customWidth="1"/>
    <col min="5" max="5" width="2.6640625" style="1" customWidth="1"/>
    <col min="6" max="6" width="9.88671875" style="1" customWidth="1"/>
    <col min="7" max="7" width="5" style="1" customWidth="1"/>
    <col min="8" max="8" width="9.6640625" style="1" customWidth="1"/>
    <col min="9" max="9" width="0.6640625" style="1" customWidth="1"/>
    <col min="10" max="10" width="2.77734375" style="1" customWidth="1"/>
    <col min="11" max="11" width="10.6640625" style="1" customWidth="1"/>
    <col min="12" max="12" width="0.77734375" style="1" customWidth="1"/>
    <col min="13" max="13" width="13.5546875" style="1" bestFit="1" customWidth="1"/>
    <col min="14" max="14" width="9.6640625" style="1" customWidth="1"/>
    <col min="15" max="15" width="13.77734375" style="1" customWidth="1"/>
    <col min="16" max="16" width="2" style="1" customWidth="1"/>
    <col min="17" max="17" width="10.109375" style="1" customWidth="1"/>
    <col min="18" max="18" width="12.21875" style="1" customWidth="1"/>
    <col min="19" max="19" width="1.33203125" style="1" customWidth="1"/>
    <col min="20" max="20" width="11.77734375" style="1" customWidth="1"/>
    <col min="21" max="21" width="1.88671875" style="1" customWidth="1"/>
    <col min="22" max="22" width="8.44140625" style="1" customWidth="1"/>
    <col min="23" max="23" width="2.77734375" style="1" customWidth="1"/>
    <col min="24" max="24" width="7.6640625" style="1" customWidth="1"/>
    <col min="25" max="25" width="0.77734375" style="1" customWidth="1"/>
    <col min="26" max="26" width="8.77734375" style="1" customWidth="1"/>
    <col min="27" max="27" width="14" style="1" customWidth="1"/>
    <col min="28" max="16384" width="9.6640625" style="1"/>
  </cols>
  <sheetData>
    <row r="1" spans="1:30">
      <c r="A1" s="831" t="s">
        <v>635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4"/>
      <c r="O1" s="831" t="s">
        <v>635</v>
      </c>
      <c r="P1" s="831"/>
      <c r="Q1" s="831"/>
      <c r="R1" s="831"/>
      <c r="S1" s="831"/>
      <c r="T1" s="831"/>
      <c r="U1" s="831"/>
      <c r="V1" s="831"/>
      <c r="W1" s="831"/>
      <c r="X1" s="21"/>
      <c r="Y1" s="3"/>
      <c r="Z1" s="4"/>
    </row>
    <row r="2" spans="1:30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30">
      <c r="A3" s="829" t="s">
        <v>170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414"/>
      <c r="O3" s="829" t="s">
        <v>170</v>
      </c>
      <c r="P3" s="829"/>
      <c r="Q3" s="829"/>
      <c r="R3" s="829"/>
      <c r="S3" s="829"/>
      <c r="T3" s="829"/>
      <c r="U3" s="829"/>
      <c r="V3" s="829"/>
      <c r="W3" s="829"/>
      <c r="X3" s="401"/>
      <c r="Y3" s="414"/>
      <c r="Z3" s="414"/>
    </row>
    <row r="5" spans="1:30" ht="15.75">
      <c r="A5" s="415"/>
      <c r="O5" s="415"/>
    </row>
    <row r="6" spans="1:30">
      <c r="A6" s="402" t="s">
        <v>701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O6" s="401" t="s">
        <v>580</v>
      </c>
      <c r="P6" s="401"/>
      <c r="Q6" s="401"/>
      <c r="R6" s="401"/>
      <c r="S6" s="401"/>
      <c r="T6" s="401"/>
      <c r="U6" s="401"/>
      <c r="V6" s="401"/>
      <c r="W6" s="401"/>
      <c r="X6" s="401"/>
      <c r="Y6" s="401"/>
      <c r="Z6" s="401"/>
    </row>
    <row r="7" spans="1:30">
      <c r="A7" s="401" t="s">
        <v>702</v>
      </c>
      <c r="B7" s="401"/>
      <c r="C7" s="401"/>
      <c r="D7" s="401"/>
      <c r="E7" s="401"/>
      <c r="F7" s="401"/>
      <c r="G7" s="401"/>
      <c r="H7" s="401"/>
      <c r="I7" s="401"/>
      <c r="J7" s="401"/>
      <c r="K7" s="401"/>
      <c r="L7" s="401"/>
      <c r="O7" s="401"/>
      <c r="P7" s="401"/>
      <c r="Q7" s="401"/>
      <c r="R7" s="401"/>
      <c r="S7" s="401"/>
      <c r="T7" s="401"/>
      <c r="U7" s="401"/>
      <c r="V7" s="401"/>
      <c r="W7" s="401"/>
      <c r="X7" s="401"/>
      <c r="Y7" s="401"/>
      <c r="Z7" s="401"/>
    </row>
    <row r="8" spans="1:30"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O8" s="401" t="s">
        <v>601</v>
      </c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</row>
    <row r="9" spans="1:30">
      <c r="A9" s="401" t="s">
        <v>445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O9" s="401" t="s">
        <v>581</v>
      </c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</row>
    <row r="10" spans="1:30">
      <c r="A10" s="401" t="s">
        <v>446</v>
      </c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</row>
    <row r="11" spans="1:30" ht="24.6" customHeight="1">
      <c r="A11" s="401"/>
      <c r="B11" s="401"/>
      <c r="C11" s="401"/>
      <c r="D11" s="404" t="s">
        <v>182</v>
      </c>
      <c r="E11" s="401"/>
      <c r="F11" s="401"/>
      <c r="I11" s="401"/>
      <c r="J11" s="401"/>
      <c r="K11" s="401"/>
      <c r="L11" s="401"/>
      <c r="O11" s="401"/>
      <c r="P11" s="401"/>
      <c r="Q11" s="401"/>
      <c r="R11" s="404" t="s">
        <v>182</v>
      </c>
      <c r="S11" s="401"/>
      <c r="U11" s="401"/>
      <c r="V11" s="401"/>
      <c r="W11" s="401"/>
      <c r="X11" s="401"/>
      <c r="Y11" s="412"/>
      <c r="Z11" s="412"/>
    </row>
    <row r="12" spans="1:30">
      <c r="A12" s="401"/>
      <c r="B12" s="401"/>
      <c r="C12" s="401"/>
      <c r="D12" s="404" t="s">
        <v>179</v>
      </c>
      <c r="E12" s="401"/>
      <c r="H12" s="697" t="s">
        <v>631</v>
      </c>
      <c r="J12" s="401"/>
      <c r="K12" s="401"/>
      <c r="L12" s="401"/>
      <c r="O12" s="401"/>
      <c r="P12" s="401"/>
      <c r="Q12" s="401"/>
      <c r="R12" s="404" t="s">
        <v>200</v>
      </c>
      <c r="S12" s="401"/>
      <c r="U12" s="401"/>
      <c r="V12" s="401"/>
      <c r="W12" s="401"/>
      <c r="AB12" s="404" t="s">
        <v>444</v>
      </c>
      <c r="AC12" s="412"/>
      <c r="AD12" s="412"/>
    </row>
    <row r="13" spans="1:30">
      <c r="A13" s="401"/>
      <c r="B13" s="401"/>
      <c r="C13" s="401"/>
      <c r="D13" s="404" t="s">
        <v>437</v>
      </c>
      <c r="E13" s="401"/>
      <c r="H13" s="697" t="s">
        <v>632</v>
      </c>
      <c r="J13" s="401"/>
      <c r="K13" s="401"/>
      <c r="L13" s="401"/>
      <c r="O13" s="401"/>
      <c r="P13" s="401"/>
      <c r="Q13" s="401"/>
      <c r="R13" s="404" t="s">
        <v>197</v>
      </c>
      <c r="S13" s="401"/>
      <c r="U13" s="401"/>
      <c r="V13" s="401"/>
      <c r="W13" s="401"/>
      <c r="AB13" s="404" t="s">
        <v>447</v>
      </c>
      <c r="AC13" s="412"/>
      <c r="AD13" s="408"/>
    </row>
    <row r="14" spans="1:30">
      <c r="A14" s="400" t="s">
        <v>171</v>
      </c>
      <c r="B14" s="400"/>
      <c r="C14" s="401"/>
      <c r="D14" s="404" t="s">
        <v>183</v>
      </c>
      <c r="E14" s="401"/>
      <c r="F14" s="404" t="s">
        <v>180</v>
      </c>
      <c r="H14" s="697" t="s">
        <v>183</v>
      </c>
      <c r="K14" s="702" t="s">
        <v>180</v>
      </c>
      <c r="L14" s="401"/>
      <c r="O14" s="400" t="s">
        <v>171</v>
      </c>
      <c r="P14" s="400"/>
      <c r="Q14" s="401"/>
      <c r="R14" s="404" t="s">
        <v>183</v>
      </c>
      <c r="S14" s="401"/>
      <c r="U14" s="401"/>
      <c r="V14" s="404" t="s">
        <v>180</v>
      </c>
      <c r="W14" s="401"/>
      <c r="AB14" s="404" t="s">
        <v>183</v>
      </c>
      <c r="AC14" s="412"/>
      <c r="AD14" s="404" t="s">
        <v>180</v>
      </c>
    </row>
    <row r="15" spans="1:30">
      <c r="A15" s="400" t="s">
        <v>172</v>
      </c>
      <c r="B15" s="400"/>
      <c r="C15" s="401"/>
      <c r="D15" s="404" t="s">
        <v>184</v>
      </c>
      <c r="E15" s="401"/>
      <c r="F15" s="404" t="s">
        <v>634</v>
      </c>
      <c r="H15" s="698" t="s">
        <v>184</v>
      </c>
      <c r="K15" s="703" t="s">
        <v>630</v>
      </c>
      <c r="L15" s="401"/>
      <c r="O15" s="400" t="s">
        <v>172</v>
      </c>
      <c r="P15" s="407"/>
      <c r="Q15" s="401"/>
      <c r="R15" s="404" t="s">
        <v>184</v>
      </c>
      <c r="S15" s="401"/>
      <c r="U15" s="401"/>
      <c r="V15" s="404" t="s">
        <v>257</v>
      </c>
      <c r="W15" s="401"/>
      <c r="AB15" s="416" t="s">
        <v>184</v>
      </c>
      <c r="AC15" s="412"/>
      <c r="AD15" s="416" t="s">
        <v>310</v>
      </c>
    </row>
    <row r="16" spans="1:30">
      <c r="A16" s="405" t="s">
        <v>173</v>
      </c>
      <c r="B16" s="405"/>
      <c r="C16" s="401"/>
      <c r="D16" s="406" t="s">
        <v>181</v>
      </c>
      <c r="E16" s="401"/>
      <c r="F16" s="406" t="s">
        <v>195</v>
      </c>
      <c r="H16" s="401"/>
      <c r="K16" s="279"/>
      <c r="L16" s="401"/>
      <c r="O16" s="405" t="s">
        <v>173</v>
      </c>
      <c r="P16" s="407"/>
      <c r="Q16" s="401"/>
      <c r="R16" s="406" t="s">
        <v>181</v>
      </c>
      <c r="S16" s="401"/>
      <c r="U16" s="401"/>
      <c r="V16" s="406" t="s">
        <v>195</v>
      </c>
      <c r="W16" s="401"/>
      <c r="AB16" s="425">
        <v>-4</v>
      </c>
      <c r="AC16" s="412"/>
      <c r="AD16" s="425">
        <v>-5</v>
      </c>
    </row>
    <row r="17" spans="1:30" ht="10.5" customHeight="1">
      <c r="A17" s="407"/>
      <c r="B17" s="407"/>
      <c r="C17" s="401"/>
      <c r="D17" s="408"/>
      <c r="E17" s="401"/>
      <c r="F17" s="408"/>
      <c r="H17" s="401"/>
      <c r="K17" s="279"/>
      <c r="L17" s="401"/>
      <c r="O17" s="407"/>
      <c r="P17" s="407"/>
      <c r="Q17" s="401"/>
      <c r="R17" s="418"/>
      <c r="S17" s="410"/>
      <c r="U17" s="410"/>
      <c r="V17" s="408"/>
      <c r="W17" s="401"/>
      <c r="AB17" s="401"/>
      <c r="AC17" s="412"/>
      <c r="AD17" s="408"/>
    </row>
    <row r="18" spans="1:30">
      <c r="A18" s="409" t="s">
        <v>254</v>
      </c>
      <c r="B18" s="401"/>
      <c r="C18" s="401"/>
      <c r="D18" s="410"/>
      <c r="E18" s="401"/>
      <c r="F18" s="401"/>
      <c r="H18" s="401"/>
      <c r="K18" s="704"/>
      <c r="L18" s="401"/>
      <c r="O18" s="409" t="s">
        <v>254</v>
      </c>
      <c r="P18" s="401"/>
      <c r="Q18" s="401"/>
      <c r="R18" s="410"/>
      <c r="S18" s="410"/>
      <c r="U18" s="410"/>
      <c r="V18" s="401"/>
      <c r="W18" s="401"/>
      <c r="AB18" s="401"/>
      <c r="AC18" s="412"/>
      <c r="AD18" s="412"/>
    </row>
    <row r="19" spans="1:30">
      <c r="A19" s="401" t="s">
        <v>322</v>
      </c>
      <c r="B19" s="401"/>
      <c r="C19" s="401"/>
      <c r="D19" s="427">
        <f>ROUND(F86/365,0)</f>
        <v>43082</v>
      </c>
      <c r="E19" s="401"/>
      <c r="F19" s="463">
        <f t="shared" ref="F19:F24" si="0">ROUND(+D19/$D$26,4)</f>
        <v>0.79959999999999998</v>
      </c>
      <c r="H19" s="500">
        <f>+R19</f>
        <v>44134</v>
      </c>
      <c r="K19" s="575">
        <f>ROUND(+R19/M28,4)</f>
        <v>0.70989999999999998</v>
      </c>
      <c r="L19" s="401"/>
      <c r="O19" s="401" t="s">
        <v>322</v>
      </c>
      <c r="P19" s="401"/>
      <c r="Q19" s="401"/>
      <c r="R19" s="427">
        <f t="shared" ref="R19:R24" si="1">ROUND(K86/365,0)</f>
        <v>44134</v>
      </c>
      <c r="S19" s="410"/>
      <c r="U19" s="410"/>
      <c r="V19" s="463">
        <f>ROUND(+R19/$R$26,4)+0.0001</f>
        <v>9.7000000000000003E-2</v>
      </c>
      <c r="W19" s="401"/>
      <c r="AB19" s="427">
        <f>+R19-D19</f>
        <v>1052</v>
      </c>
      <c r="AC19" s="412"/>
      <c r="AD19" s="463">
        <f>ROUND(+AB19/$AB$26,4)+0.0001</f>
        <v>2.6999999999999997E-3</v>
      </c>
    </row>
    <row r="20" spans="1:30">
      <c r="A20" s="401" t="s">
        <v>318</v>
      </c>
      <c r="B20" s="401"/>
      <c r="C20" s="401"/>
      <c r="D20" s="427">
        <f>ROUND(F87/365,0)</f>
        <v>10796</v>
      </c>
      <c r="E20" s="401"/>
      <c r="F20" s="463">
        <f t="shared" si="0"/>
        <v>0.20039999999999999</v>
      </c>
      <c r="H20" s="500">
        <f>+R20</f>
        <v>18037</v>
      </c>
      <c r="K20" s="575">
        <f>ROUND(+R20/M28,4)</f>
        <v>0.29010000000000002</v>
      </c>
      <c r="L20" s="401"/>
      <c r="O20" s="401" t="s">
        <v>318</v>
      </c>
      <c r="P20" s="401"/>
      <c r="Q20" s="401"/>
      <c r="R20" s="427">
        <f t="shared" si="1"/>
        <v>18037</v>
      </c>
      <c r="S20" s="410"/>
      <c r="U20" s="410"/>
      <c r="V20" s="463">
        <f>ROUND(+R20/$R$26,4)</f>
        <v>3.9600000000000003E-2</v>
      </c>
      <c r="W20" s="401"/>
      <c r="AB20" s="427">
        <f>+R20-D20</f>
        <v>7241</v>
      </c>
      <c r="AC20" s="412"/>
      <c r="AD20" s="463">
        <f t="shared" ref="AD20:AD24" si="2">ROUND(+AB20/$AB$26,4)</f>
        <v>1.8200000000000001E-2</v>
      </c>
    </row>
    <row r="21" spans="1:30">
      <c r="A21" s="401" t="s">
        <v>319</v>
      </c>
      <c r="B21" s="401"/>
      <c r="C21" s="401"/>
      <c r="D21" s="427"/>
      <c r="E21" s="401"/>
      <c r="F21" s="463">
        <f t="shared" si="0"/>
        <v>0</v>
      </c>
      <c r="H21" s="401"/>
      <c r="K21" s="704"/>
      <c r="L21" s="401"/>
      <c r="O21" s="401" t="s">
        <v>319</v>
      </c>
      <c r="P21" s="401"/>
      <c r="Q21" s="401"/>
      <c r="R21" s="427">
        <f t="shared" si="1"/>
        <v>10837</v>
      </c>
      <c r="S21" s="410"/>
      <c r="U21" s="410"/>
      <c r="V21" s="463">
        <f>ROUND(+R21/$R$26,4)</f>
        <v>2.3800000000000002E-2</v>
      </c>
      <c r="W21" s="401"/>
      <c r="AB21" s="427">
        <f>+R21</f>
        <v>10837</v>
      </c>
      <c r="AC21" s="412"/>
      <c r="AD21" s="463">
        <f t="shared" si="2"/>
        <v>2.7199999999999998E-2</v>
      </c>
    </row>
    <row r="22" spans="1:30">
      <c r="A22" s="401" t="s">
        <v>320</v>
      </c>
      <c r="B22" s="401"/>
      <c r="C22" s="401"/>
      <c r="D22" s="427"/>
      <c r="E22" s="401"/>
      <c r="F22" s="463">
        <f t="shared" si="0"/>
        <v>0</v>
      </c>
      <c r="H22" s="401"/>
      <c r="K22" s="704"/>
      <c r="L22" s="401"/>
      <c r="O22" s="401" t="s">
        <v>320</v>
      </c>
      <c r="P22" s="401"/>
      <c r="Q22" s="401"/>
      <c r="R22" s="427">
        <f t="shared" si="1"/>
        <v>14858</v>
      </c>
      <c r="S22" s="410"/>
      <c r="U22" s="410"/>
      <c r="V22" s="463">
        <f>ROUND(+R22/$R$26,4)</f>
        <v>3.2599999999999997E-2</v>
      </c>
      <c r="W22" s="401"/>
      <c r="AB22" s="427">
        <f>+R22</f>
        <v>14858</v>
      </c>
      <c r="AC22" s="412"/>
      <c r="AD22" s="463">
        <f t="shared" si="2"/>
        <v>3.73E-2</v>
      </c>
    </row>
    <row r="23" spans="1:30">
      <c r="A23" s="401" t="s">
        <v>321</v>
      </c>
      <c r="B23" s="401"/>
      <c r="C23" s="401"/>
      <c r="D23" s="427">
        <f>ROUND(F90/365,0)</f>
        <v>0</v>
      </c>
      <c r="E23" s="401"/>
      <c r="F23" s="463">
        <f t="shared" si="0"/>
        <v>0</v>
      </c>
      <c r="H23" s="401"/>
      <c r="K23" s="704"/>
      <c r="L23" s="401"/>
      <c r="O23" s="401" t="s">
        <v>468</v>
      </c>
      <c r="P23" s="401"/>
      <c r="Q23" s="401"/>
      <c r="R23" s="427">
        <f t="shared" si="1"/>
        <v>364093</v>
      </c>
      <c r="S23" s="410"/>
      <c r="U23" s="410"/>
      <c r="V23" s="463">
        <f>ROUND(+R23/$R$26,4)</f>
        <v>0.79969999999999997</v>
      </c>
      <c r="W23" s="401"/>
      <c r="AB23" s="427">
        <f>+R23</f>
        <v>364093</v>
      </c>
      <c r="AC23" s="412"/>
      <c r="AD23" s="463">
        <f t="shared" si="2"/>
        <v>0.91459999999999997</v>
      </c>
    </row>
    <row r="24" spans="1:30">
      <c r="A24" s="401" t="s">
        <v>427</v>
      </c>
      <c r="B24" s="401"/>
      <c r="C24" s="401"/>
      <c r="D24" s="427">
        <f>ROUND(F91/365,0)</f>
        <v>0</v>
      </c>
      <c r="E24" s="412"/>
      <c r="F24" s="463">
        <f t="shared" si="0"/>
        <v>0</v>
      </c>
      <c r="H24" s="750"/>
      <c r="K24" s="705"/>
      <c r="L24" s="401"/>
      <c r="O24" s="401" t="s">
        <v>427</v>
      </c>
      <c r="P24" s="401"/>
      <c r="Q24" s="401"/>
      <c r="R24" s="427">
        <f t="shared" si="1"/>
        <v>3328</v>
      </c>
      <c r="S24" s="410"/>
      <c r="U24" s="410"/>
      <c r="V24" s="463">
        <f>ROUND(+R24/$R$26,4)</f>
        <v>7.3000000000000001E-3</v>
      </c>
      <c r="W24" s="401"/>
      <c r="AB24" s="427">
        <v>0</v>
      </c>
      <c r="AC24" s="412"/>
      <c r="AD24" s="463">
        <f t="shared" si="2"/>
        <v>0</v>
      </c>
    </row>
    <row r="25" spans="1:30" ht="12.75" customHeight="1">
      <c r="A25" s="401"/>
      <c r="B25" s="401"/>
      <c r="C25" s="401"/>
      <c r="D25" s="434"/>
      <c r="E25" s="401"/>
      <c r="F25" s="464"/>
      <c r="H25" s="401"/>
      <c r="K25" s="279"/>
      <c r="L25" s="401"/>
      <c r="O25" s="401"/>
      <c r="P25" s="401"/>
      <c r="Q25" s="401"/>
      <c r="R25" s="434"/>
      <c r="S25" s="410"/>
      <c r="U25" s="410"/>
      <c r="V25" s="464"/>
      <c r="W25" s="401"/>
      <c r="AB25" s="434"/>
      <c r="AC25" s="412"/>
      <c r="AD25" s="464"/>
    </row>
    <row r="26" spans="1:30" ht="17.100000000000001" customHeight="1" thickBot="1">
      <c r="A26" s="401" t="s">
        <v>176</v>
      </c>
      <c r="B26" s="401"/>
      <c r="C26" s="401"/>
      <c r="D26" s="456">
        <f>+SUM(D19:D22)</f>
        <v>53878</v>
      </c>
      <c r="E26" s="401"/>
      <c r="F26" s="465">
        <f>+SUM(F19:F24)</f>
        <v>1</v>
      </c>
      <c r="H26" s="456">
        <f t="shared" ref="H26" si="3">+SUM(H19:H22)</f>
        <v>62171</v>
      </c>
      <c r="K26" s="706">
        <f t="shared" ref="K26" si="4">+SUM(K19:K24)</f>
        <v>1</v>
      </c>
      <c r="L26" s="401"/>
      <c r="O26" s="401" t="s">
        <v>176</v>
      </c>
      <c r="P26" s="401"/>
      <c r="Q26" s="401"/>
      <c r="R26" s="456">
        <f>SUM(R19:R24)</f>
        <v>455287</v>
      </c>
      <c r="S26" s="401"/>
      <c r="U26" s="419"/>
      <c r="V26" s="465">
        <f>SUM(V19:V24)</f>
        <v>0.99999999999999989</v>
      </c>
      <c r="W26" s="401"/>
      <c r="AB26" s="456">
        <f>SUM(AB19:AB24)</f>
        <v>398081</v>
      </c>
      <c r="AC26" s="412"/>
      <c r="AD26" s="465">
        <f>SUM(AD19:AD24)</f>
        <v>1</v>
      </c>
    </row>
    <row r="27" spans="1:30" ht="14.1" customHeight="1" thickTop="1">
      <c r="A27" s="401"/>
      <c r="B27" s="401"/>
      <c r="C27" s="401"/>
      <c r="D27" s="461"/>
      <c r="E27" s="413"/>
      <c r="H27" s="412"/>
      <c r="I27" s="412"/>
      <c r="K27" s="279"/>
      <c r="L27" s="413"/>
      <c r="V27" s="421"/>
      <c r="W27" s="422"/>
      <c r="AC27" s="43"/>
      <c r="AD27" s="423"/>
    </row>
    <row r="28" spans="1:30">
      <c r="A28" s="5"/>
      <c r="B28" s="5"/>
      <c r="C28" s="5"/>
      <c r="D28" s="5"/>
      <c r="E28" s="5"/>
      <c r="F28" s="367"/>
      <c r="G28" s="5"/>
      <c r="H28" s="5"/>
      <c r="I28" s="5"/>
      <c r="J28" s="5"/>
      <c r="K28" s="5"/>
      <c r="M28" s="475">
        <f>SUM(R19:R20)</f>
        <v>62171</v>
      </c>
      <c r="O28" s="831" t="s">
        <v>635</v>
      </c>
      <c r="P28" s="831"/>
      <c r="Q28" s="831"/>
      <c r="R28" s="831"/>
      <c r="S28" s="831"/>
      <c r="T28" s="831"/>
      <c r="U28" s="831"/>
      <c r="V28" s="831"/>
      <c r="W28" s="831"/>
      <c r="X28" s="831"/>
      <c r="Y28" s="831"/>
      <c r="Z28" s="831"/>
    </row>
    <row r="29" spans="1:30" ht="10.15" customHeight="1">
      <c r="A29" s="5"/>
      <c r="B29" s="5"/>
      <c r="C29" s="5"/>
      <c r="D29" s="5"/>
      <c r="E29" s="5"/>
      <c r="F29" s="367"/>
      <c r="G29" s="5"/>
      <c r="H29" s="5"/>
      <c r="I29" s="5"/>
      <c r="J29" s="5"/>
      <c r="K29" s="5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4"/>
    </row>
    <row r="30" spans="1:30">
      <c r="A30" s="5"/>
      <c r="B30" s="5"/>
      <c r="C30" s="5"/>
      <c r="D30" s="5"/>
      <c r="E30" s="5"/>
      <c r="F30" s="367"/>
      <c r="G30" s="5"/>
      <c r="H30" s="5"/>
      <c r="I30" s="5"/>
      <c r="J30" s="5"/>
      <c r="K30" s="5"/>
      <c r="O30" s="829" t="s">
        <v>170</v>
      </c>
      <c r="P30" s="829"/>
      <c r="Q30" s="829"/>
      <c r="R30" s="829"/>
      <c r="S30" s="829"/>
      <c r="T30" s="829"/>
      <c r="U30" s="829"/>
      <c r="V30" s="829"/>
      <c r="W30" s="829"/>
      <c r="X30" s="829"/>
      <c r="Y30" s="829"/>
      <c r="Z30" s="829"/>
    </row>
    <row r="31" spans="1:30">
      <c r="A31" s="5"/>
      <c r="B31" s="5"/>
      <c r="C31" s="5"/>
      <c r="D31" s="5"/>
      <c r="E31" s="5"/>
      <c r="F31" s="367"/>
      <c r="G31" s="5"/>
      <c r="H31" s="5"/>
      <c r="I31" s="5"/>
      <c r="J31" s="5"/>
      <c r="K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93"/>
      <c r="Z31" s="43"/>
    </row>
    <row r="32" spans="1:30">
      <c r="A32" s="185"/>
      <c r="B32" s="186"/>
      <c r="C32" s="187"/>
      <c r="D32" s="187"/>
      <c r="E32" s="187"/>
      <c r="F32" s="381"/>
      <c r="G32" s="187"/>
      <c r="H32" s="187"/>
      <c r="I32" s="187"/>
      <c r="J32" s="187"/>
      <c r="K32" s="187"/>
      <c r="L32" s="187"/>
      <c r="O32" s="402" t="s">
        <v>629</v>
      </c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</row>
    <row r="33" spans="1:29" ht="11.45" customHeight="1">
      <c r="A33" s="188"/>
      <c r="B33" s="188"/>
      <c r="C33" s="188"/>
      <c r="D33" s="188"/>
      <c r="E33" s="188"/>
      <c r="F33" s="382"/>
      <c r="G33" s="188"/>
      <c r="H33" s="188"/>
      <c r="I33" s="188"/>
      <c r="J33" s="188"/>
      <c r="K33" s="188"/>
      <c r="L33" s="188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</row>
    <row r="34" spans="1:29" ht="13.5" customHeight="1">
      <c r="A34" s="187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O34" s="401" t="s">
        <v>448</v>
      </c>
      <c r="P34" s="401"/>
      <c r="Q34" s="401"/>
      <c r="R34" s="401"/>
      <c r="S34" s="401"/>
      <c r="T34" s="401"/>
      <c r="U34" s="401"/>
      <c r="V34" s="401"/>
      <c r="W34" s="401"/>
      <c r="X34" s="401"/>
      <c r="Y34" s="401"/>
      <c r="Z34" s="401"/>
    </row>
    <row r="35" spans="1:29">
      <c r="A35" s="187"/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O35" s="401" t="s">
        <v>449</v>
      </c>
      <c r="P35" s="401"/>
      <c r="Q35" s="401"/>
      <c r="R35" s="401"/>
      <c r="S35" s="401"/>
      <c r="T35" s="401"/>
      <c r="U35" s="401"/>
      <c r="V35" s="401"/>
      <c r="W35" s="401"/>
      <c r="X35" s="401"/>
      <c r="Y35" s="401"/>
      <c r="Z35" s="401"/>
    </row>
    <row r="36" spans="1:29" ht="10.15" customHeight="1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O36" s="401"/>
      <c r="P36" s="401"/>
      <c r="Q36" s="401"/>
      <c r="R36" s="401"/>
      <c r="S36" s="401"/>
      <c r="T36" s="401"/>
      <c r="U36" s="401"/>
      <c r="V36" s="401"/>
      <c r="W36" s="401"/>
      <c r="X36" s="401"/>
      <c r="Y36" s="401"/>
      <c r="Z36" s="401"/>
    </row>
    <row r="37" spans="1:29">
      <c r="A37" s="188"/>
      <c r="B37" s="188"/>
      <c r="C37" s="188"/>
      <c r="D37" s="189"/>
      <c r="E37" s="189"/>
      <c r="F37" s="189"/>
      <c r="G37" s="188"/>
      <c r="H37" s="189"/>
      <c r="I37" s="189"/>
      <c r="J37" s="189"/>
      <c r="K37" s="188"/>
      <c r="L37" s="188"/>
      <c r="O37" s="401"/>
      <c r="P37" s="401"/>
      <c r="Q37" s="829" t="s">
        <v>179</v>
      </c>
      <c r="R37" s="829"/>
      <c r="S37" s="829"/>
      <c r="T37" s="829"/>
      <c r="U37" s="401"/>
      <c r="V37" s="400" t="s">
        <v>189</v>
      </c>
      <c r="W37" s="400"/>
      <c r="X37" s="400"/>
      <c r="Y37" s="401"/>
      <c r="Z37" s="401"/>
    </row>
    <row r="38" spans="1:29">
      <c r="A38" s="188"/>
      <c r="B38" s="188"/>
      <c r="C38" s="188"/>
      <c r="D38" s="189"/>
      <c r="E38" s="189"/>
      <c r="F38" s="189"/>
      <c r="G38" s="188"/>
      <c r="H38" s="189"/>
      <c r="I38" s="189"/>
      <c r="J38" s="189"/>
      <c r="K38" s="188"/>
      <c r="L38" s="188"/>
      <c r="O38" s="401"/>
      <c r="P38" s="401"/>
      <c r="Q38" s="830" t="s">
        <v>435</v>
      </c>
      <c r="R38" s="830"/>
      <c r="S38" s="830"/>
      <c r="T38" s="830"/>
      <c r="U38" s="401"/>
      <c r="V38" s="400" t="s">
        <v>190</v>
      </c>
      <c r="W38" s="400"/>
      <c r="X38" s="400"/>
      <c r="Y38" s="401"/>
      <c r="Z38" s="404"/>
      <c r="AA38" s="261"/>
      <c r="AB38" s="40"/>
      <c r="AC38" s="43"/>
    </row>
    <row r="39" spans="1:29">
      <c r="A39" s="189"/>
      <c r="B39" s="189"/>
      <c r="C39" s="188"/>
      <c r="D39" s="190"/>
      <c r="E39" s="188"/>
      <c r="F39" s="190"/>
      <c r="G39" s="188"/>
      <c r="H39" s="190"/>
      <c r="I39" s="188"/>
      <c r="J39" s="190"/>
      <c r="K39" s="188"/>
      <c r="L39" s="190"/>
      <c r="O39" s="400" t="s">
        <v>171</v>
      </c>
      <c r="P39" s="400"/>
      <c r="Q39" s="505"/>
      <c r="R39" s="408" t="s">
        <v>180</v>
      </c>
      <c r="S39" s="412"/>
      <c r="T39" s="408" t="s">
        <v>185</v>
      </c>
      <c r="U39" s="401"/>
      <c r="V39" s="406" t="s">
        <v>180</v>
      </c>
      <c r="W39" s="426"/>
      <c r="X39" s="406" t="s">
        <v>185</v>
      </c>
      <c r="Y39" s="401"/>
      <c r="Z39" s="404" t="s">
        <v>180</v>
      </c>
      <c r="AA39" s="43"/>
      <c r="AB39" s="40"/>
      <c r="AC39" s="43"/>
    </row>
    <row r="40" spans="1:29">
      <c r="A40" s="189"/>
      <c r="B40" s="189"/>
      <c r="C40" s="188"/>
      <c r="D40" s="190"/>
      <c r="E40" s="188"/>
      <c r="F40" s="190"/>
      <c r="G40" s="188"/>
      <c r="H40" s="190"/>
      <c r="I40" s="188"/>
      <c r="J40" s="190"/>
      <c r="K40" s="188"/>
      <c r="L40" s="190"/>
      <c r="O40" s="400" t="s">
        <v>172</v>
      </c>
      <c r="P40" s="401"/>
      <c r="Q40" s="416" t="s">
        <v>700</v>
      </c>
      <c r="R40" s="404" t="s">
        <v>186</v>
      </c>
      <c r="S40" s="401"/>
      <c r="T40" s="404" t="s">
        <v>602</v>
      </c>
      <c r="U40" s="401"/>
      <c r="V40" s="404" t="s">
        <v>309</v>
      </c>
      <c r="W40" s="401"/>
      <c r="X40" s="404" t="s">
        <v>186</v>
      </c>
      <c r="Y40" s="401"/>
      <c r="Z40" s="404" t="s">
        <v>450</v>
      </c>
      <c r="AA40" s="43"/>
      <c r="AB40" s="40"/>
      <c r="AC40" s="43"/>
    </row>
    <row r="41" spans="1:29">
      <c r="A41" s="189"/>
      <c r="B41" s="189"/>
      <c r="C41" s="188"/>
      <c r="D41" s="190"/>
      <c r="E41" s="188"/>
      <c r="F41" s="190"/>
      <c r="G41" s="188"/>
      <c r="H41" s="190"/>
      <c r="I41" s="188"/>
      <c r="J41" s="190"/>
      <c r="K41" s="188"/>
      <c r="L41" s="190"/>
      <c r="O41" s="405" t="s">
        <v>173</v>
      </c>
      <c r="P41" s="405"/>
      <c r="Q41" s="406" t="s">
        <v>181</v>
      </c>
      <c r="R41" s="425">
        <v>-3</v>
      </c>
      <c r="S41" s="401"/>
      <c r="T41" s="406" t="s">
        <v>461</v>
      </c>
      <c r="U41" s="401"/>
      <c r="V41" s="425">
        <v>-5</v>
      </c>
      <c r="W41" s="401"/>
      <c r="X41" s="406" t="s">
        <v>462</v>
      </c>
      <c r="Y41" s="401"/>
      <c r="Z41" s="511" t="s">
        <v>471</v>
      </c>
      <c r="AA41" s="43"/>
      <c r="AB41" s="197"/>
      <c r="AC41" s="43"/>
    </row>
    <row r="42" spans="1:29">
      <c r="A42" s="188"/>
      <c r="B42" s="188"/>
      <c r="C42" s="188"/>
      <c r="D42" s="188"/>
      <c r="E42" s="188"/>
      <c r="F42" s="191"/>
      <c r="G42" s="191"/>
      <c r="H42" s="191"/>
      <c r="I42" s="191"/>
      <c r="J42" s="191"/>
      <c r="K42" s="188"/>
      <c r="L42" s="188"/>
      <c r="O42" s="401"/>
      <c r="P42" s="401"/>
      <c r="Q42" s="401"/>
      <c r="R42" s="401"/>
      <c r="S42" s="401"/>
      <c r="T42" s="462">
        <f>+R99</f>
        <v>0.26533100183590874</v>
      </c>
      <c r="U42" s="411"/>
      <c r="V42" s="411"/>
      <c r="W42" s="411"/>
      <c r="X42" s="411">
        <f>1-T42</f>
        <v>0.73466899816409126</v>
      </c>
      <c r="Y42" s="401"/>
      <c r="Z42" s="401"/>
      <c r="AA42" s="43"/>
      <c r="AB42" s="43"/>
      <c r="AC42" s="43"/>
    </row>
    <row r="43" spans="1:29">
      <c r="A43" s="192"/>
      <c r="B43" s="188"/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O43" s="409" t="s">
        <v>254</v>
      </c>
      <c r="P43" s="401"/>
      <c r="Q43" s="401"/>
      <c r="R43" s="401"/>
      <c r="S43" s="401"/>
      <c r="T43" s="460"/>
      <c r="U43" s="401"/>
      <c r="V43" s="401"/>
      <c r="W43" s="401"/>
      <c r="X43" s="401"/>
      <c r="Y43" s="401"/>
      <c r="Z43" s="401"/>
    </row>
    <row r="44" spans="1:29">
      <c r="A44" s="193"/>
      <c r="B44" s="193"/>
      <c r="C44" s="188"/>
      <c r="D44" s="191"/>
      <c r="E44" s="191"/>
      <c r="F44" s="191"/>
      <c r="G44" s="191"/>
      <c r="H44" s="191"/>
      <c r="I44" s="191"/>
      <c r="J44" s="191"/>
      <c r="K44" s="191"/>
      <c r="L44" s="191"/>
      <c r="O44" s="401" t="s">
        <v>322</v>
      </c>
      <c r="P44" s="401"/>
      <c r="Q44" s="500">
        <f>+R19</f>
        <v>44134</v>
      </c>
      <c r="R44" s="463">
        <f t="shared" ref="R44:R49" si="5">ROUND(Q44/Q$51,4)</f>
        <v>0.48399999999999999</v>
      </c>
      <c r="S44" s="411"/>
      <c r="T44" s="463">
        <f>ROUND(+R44*$T$42,4)</f>
        <v>0.12839999999999999</v>
      </c>
      <c r="U44" s="411"/>
      <c r="V44" s="463">
        <f>+'Ftr 3 &amp; 6'!K17</f>
        <v>0.60260000000000002</v>
      </c>
      <c r="W44" s="411"/>
      <c r="X44" s="463">
        <f>ROUND(+V44*$X$42,4)</f>
        <v>0.44269999999999998</v>
      </c>
      <c r="Y44" s="411"/>
      <c r="Z44" s="463">
        <f t="shared" ref="Z44:Z49" si="6">X44+T44</f>
        <v>0.57109999999999994</v>
      </c>
    </row>
    <row r="45" spans="1:29">
      <c r="A45" s="193"/>
      <c r="B45" s="193"/>
      <c r="C45" s="188"/>
      <c r="D45" s="191"/>
      <c r="E45" s="191"/>
      <c r="F45" s="191"/>
      <c r="G45" s="191"/>
      <c r="H45" s="191"/>
      <c r="I45" s="191"/>
      <c r="J45" s="194"/>
      <c r="K45" s="191"/>
      <c r="L45" s="191"/>
      <c r="O45" s="401" t="s">
        <v>318</v>
      </c>
      <c r="P45" s="401"/>
      <c r="Q45" s="500">
        <f>+R20</f>
        <v>18037</v>
      </c>
      <c r="R45" s="463">
        <f t="shared" si="5"/>
        <v>0.1978</v>
      </c>
      <c r="S45" s="411"/>
      <c r="T45" s="463">
        <f>ROUND(+R45*$T$42,4)</f>
        <v>5.2499999999999998E-2</v>
      </c>
      <c r="U45" s="411"/>
      <c r="V45" s="463">
        <f>+'Ftr 3 &amp; 6'!K18</f>
        <v>0.25190000000000001</v>
      </c>
      <c r="W45" s="411"/>
      <c r="X45" s="463">
        <f t="shared" ref="X45:X49" si="7">ROUND(+V45*$X$42,4)</f>
        <v>0.18509999999999999</v>
      </c>
      <c r="Y45" s="411"/>
      <c r="Z45" s="463">
        <f t="shared" si="6"/>
        <v>0.23759999999999998</v>
      </c>
    </row>
    <row r="46" spans="1:29">
      <c r="A46" s="193"/>
      <c r="B46" s="193"/>
      <c r="C46" s="188"/>
      <c r="D46" s="191"/>
      <c r="E46" s="191"/>
      <c r="F46" s="194"/>
      <c r="G46" s="191"/>
      <c r="H46" s="191"/>
      <c r="I46" s="191"/>
      <c r="J46" s="191"/>
      <c r="K46" s="191"/>
      <c r="L46" s="191"/>
      <c r="O46" s="401" t="s">
        <v>319</v>
      </c>
      <c r="P46" s="401"/>
      <c r="Q46" s="500">
        <f>+R21</f>
        <v>10837</v>
      </c>
      <c r="R46" s="463">
        <f t="shared" si="5"/>
        <v>0.1188</v>
      </c>
      <c r="S46" s="411"/>
      <c r="T46" s="463">
        <f t="shared" ref="T46:T49" si="8">ROUND(+R46*$T$42,4)</f>
        <v>3.15E-2</v>
      </c>
      <c r="U46" s="411"/>
      <c r="V46" s="463">
        <f>+'Ftr 3 &amp; 6'!K19</f>
        <v>9.9000000000000005E-2</v>
      </c>
      <c r="W46" s="411"/>
      <c r="X46" s="463">
        <f t="shared" si="7"/>
        <v>7.2700000000000001E-2</v>
      </c>
      <c r="Y46" s="411"/>
      <c r="Z46" s="463">
        <f t="shared" si="6"/>
        <v>0.1042</v>
      </c>
    </row>
    <row r="47" spans="1:29">
      <c r="A47" s="193"/>
      <c r="B47" s="193"/>
      <c r="C47" s="188"/>
      <c r="D47" s="191"/>
      <c r="E47" s="191"/>
      <c r="F47" s="194"/>
      <c r="G47" s="191"/>
      <c r="H47" s="191"/>
      <c r="I47" s="191"/>
      <c r="J47" s="191"/>
      <c r="K47" s="191"/>
      <c r="L47" s="191"/>
      <c r="O47" s="401" t="s">
        <v>320</v>
      </c>
      <c r="P47" s="401"/>
      <c r="Q47" s="500">
        <f>+R22</f>
        <v>14858</v>
      </c>
      <c r="R47" s="463">
        <f t="shared" si="5"/>
        <v>0.16289999999999999</v>
      </c>
      <c r="S47" s="411"/>
      <c r="T47" s="463">
        <f t="shared" si="8"/>
        <v>4.3200000000000002E-2</v>
      </c>
      <c r="U47" s="411"/>
      <c r="V47" s="463">
        <f>+'Ftr 3 &amp; 6'!K20</f>
        <v>4.65E-2</v>
      </c>
      <c r="W47" s="411"/>
      <c r="X47" s="463">
        <f t="shared" si="7"/>
        <v>3.4200000000000001E-2</v>
      </c>
      <c r="Y47" s="411"/>
      <c r="Z47" s="463">
        <f t="shared" si="6"/>
        <v>7.7399999999999997E-2</v>
      </c>
    </row>
    <row r="48" spans="1:29">
      <c r="A48" s="193"/>
      <c r="B48" s="193"/>
      <c r="C48" s="188"/>
      <c r="D48" s="191"/>
      <c r="E48" s="191"/>
      <c r="F48" s="194"/>
      <c r="G48" s="191"/>
      <c r="H48" s="191"/>
      <c r="I48" s="191"/>
      <c r="J48" s="191"/>
      <c r="K48" s="191"/>
      <c r="L48" s="191"/>
      <c r="O48" s="401" t="s">
        <v>468</v>
      </c>
      <c r="P48" s="401"/>
      <c r="Q48" s="500"/>
      <c r="R48" s="463">
        <f t="shared" si="5"/>
        <v>0</v>
      </c>
      <c r="S48" s="411"/>
      <c r="T48" s="463">
        <f t="shared" si="8"/>
        <v>0</v>
      </c>
      <c r="U48" s="411"/>
      <c r="V48" s="463">
        <f>+'Ftr 3 &amp; 6'!K22</f>
        <v>0</v>
      </c>
      <c r="W48" s="411"/>
      <c r="X48" s="463">
        <f t="shared" si="7"/>
        <v>0</v>
      </c>
      <c r="Y48" s="411"/>
      <c r="Z48" s="463">
        <f t="shared" si="6"/>
        <v>0</v>
      </c>
    </row>
    <row r="49" spans="1:26">
      <c r="A49" s="193"/>
      <c r="B49" s="193"/>
      <c r="C49" s="188"/>
      <c r="D49" s="191"/>
      <c r="E49" s="191"/>
      <c r="F49" s="191"/>
      <c r="G49" s="191"/>
      <c r="H49" s="191"/>
      <c r="I49" s="191"/>
      <c r="J49" s="191"/>
      <c r="K49" s="191"/>
      <c r="L49" s="191"/>
      <c r="O49" s="401" t="s">
        <v>427</v>
      </c>
      <c r="P49" s="401"/>
      <c r="Q49" s="438">
        <f>ROUND((+K91)/365,0)</f>
        <v>3328</v>
      </c>
      <c r="R49" s="463">
        <f t="shared" si="5"/>
        <v>3.6499999999999998E-2</v>
      </c>
      <c r="S49" s="411"/>
      <c r="T49" s="463">
        <f t="shared" si="8"/>
        <v>9.7000000000000003E-3</v>
      </c>
      <c r="U49" s="411"/>
      <c r="V49" s="463"/>
      <c r="W49" s="411"/>
      <c r="X49" s="463">
        <f t="shared" si="7"/>
        <v>0</v>
      </c>
      <c r="Y49" s="411"/>
      <c r="Z49" s="463">
        <f t="shared" si="6"/>
        <v>9.7000000000000003E-3</v>
      </c>
    </row>
    <row r="50" spans="1:26">
      <c r="A50" s="188"/>
      <c r="B50" s="188"/>
      <c r="C50" s="188"/>
      <c r="D50" s="191"/>
      <c r="E50" s="191"/>
      <c r="F50" s="191"/>
      <c r="G50" s="191"/>
      <c r="H50" s="191"/>
      <c r="I50" s="191"/>
      <c r="J50" s="191"/>
      <c r="K50" s="191"/>
      <c r="L50" s="191"/>
      <c r="O50" s="401"/>
      <c r="P50" s="401"/>
      <c r="Q50" s="401"/>
      <c r="R50" s="464"/>
      <c r="S50" s="411"/>
      <c r="T50" s="464"/>
      <c r="U50" s="411"/>
      <c r="V50" s="464"/>
      <c r="W50" s="411"/>
      <c r="X50" s="464"/>
      <c r="Y50" s="411"/>
      <c r="Z50" s="464"/>
    </row>
    <row r="51" spans="1:26" ht="15.75" thickBot="1">
      <c r="A51" s="188"/>
      <c r="B51" s="188"/>
      <c r="C51" s="188"/>
      <c r="D51" s="191"/>
      <c r="E51" s="188"/>
      <c r="F51" s="191"/>
      <c r="G51" s="188"/>
      <c r="H51" s="191"/>
      <c r="I51" s="188"/>
      <c r="J51" s="191"/>
      <c r="K51" s="188"/>
      <c r="L51" s="191"/>
      <c r="O51" s="5" t="s">
        <v>176</v>
      </c>
      <c r="P51" s="5"/>
      <c r="Q51" s="560">
        <f>SUM(Q44:Q50)</f>
        <v>91194</v>
      </c>
      <c r="R51" s="465">
        <f>SUM(R44:R49)</f>
        <v>1</v>
      </c>
      <c r="S51" s="5"/>
      <c r="T51" s="465">
        <f>SUM(T44:T49)</f>
        <v>0.26529999999999998</v>
      </c>
      <c r="U51" s="5"/>
      <c r="V51" s="465">
        <f>SUM(V44:V49)</f>
        <v>1</v>
      </c>
      <c r="W51" s="5"/>
      <c r="X51" s="465">
        <f>SUM(X44:X49)</f>
        <v>0.73469999999999991</v>
      </c>
      <c r="Y51" s="5"/>
      <c r="Z51" s="465">
        <f>SUM(Z44:Z49)</f>
        <v>1</v>
      </c>
    </row>
    <row r="52" spans="1:26" ht="10.9" customHeight="1" thickTop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O52" s="637"/>
      <c r="P52" s="637"/>
      <c r="Q52" s="637"/>
      <c r="R52" s="15"/>
      <c r="S52" s="5"/>
      <c r="T52" s="15"/>
      <c r="U52" s="5"/>
      <c r="V52" s="15"/>
      <c r="W52" s="5"/>
      <c r="X52" s="15"/>
      <c r="Y52" s="5"/>
      <c r="Z52" s="15"/>
    </row>
    <row r="53" spans="1:26" ht="17.100000000000001" customHeight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O53" s="756" t="s">
        <v>705</v>
      </c>
      <c r="P53" s="753"/>
      <c r="Q53" s="753"/>
      <c r="R53" s="754"/>
      <c r="S53" s="753"/>
      <c r="T53" s="754"/>
      <c r="U53" s="753"/>
      <c r="V53" s="754"/>
      <c r="W53" s="753"/>
      <c r="X53" s="754"/>
      <c r="Y53" s="753"/>
      <c r="Z53" s="754"/>
    </row>
    <row r="54" spans="1:26" ht="17.100000000000001" customHeight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O54" s="753" t="s">
        <v>704</v>
      </c>
      <c r="P54" s="279"/>
      <c r="Q54" s="279"/>
      <c r="R54" s="279"/>
      <c r="S54" s="279"/>
      <c r="T54" s="279"/>
      <c r="U54" s="279"/>
      <c r="V54" s="279"/>
      <c r="W54" s="279"/>
      <c r="X54" s="279"/>
      <c r="Y54" s="755"/>
      <c r="Z54" s="755"/>
    </row>
    <row r="55" spans="1:26" ht="12.6" customHeight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O55" s="5"/>
      <c r="Y55" s="6"/>
      <c r="Z55" s="6"/>
    </row>
    <row r="56" spans="1:26" ht="16.899999999999999" customHeight="1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O56" s="402" t="s">
        <v>604</v>
      </c>
      <c r="P56" s="501"/>
      <c r="Q56" s="6"/>
      <c r="R56" s="6"/>
      <c r="S56" s="6"/>
      <c r="T56" s="6"/>
      <c r="U56" s="6"/>
      <c r="V56" s="6"/>
      <c r="W56" s="6"/>
      <c r="X56" s="6"/>
      <c r="Y56" s="5"/>
      <c r="Z56" s="5"/>
    </row>
    <row r="57" spans="1:26" ht="15.6" customHeight="1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O57" s="401" t="s">
        <v>603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7.100000000000001" customHeight="1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O58" s="401" t="s">
        <v>133</v>
      </c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6" ht="17.100000000000001" customHeight="1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O59" s="401" t="s">
        <v>465</v>
      </c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6" ht="9.6" customHeight="1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6" ht="17.100000000000001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O61" s="401"/>
      <c r="P61" s="401"/>
      <c r="Q61" s="401"/>
      <c r="R61" s="400" t="s">
        <v>179</v>
      </c>
      <c r="S61" s="400"/>
      <c r="T61" s="400"/>
      <c r="U61" s="401"/>
      <c r="V61" s="400" t="s">
        <v>189</v>
      </c>
      <c r="W61" s="400"/>
      <c r="X61" s="400"/>
      <c r="Y61" s="401"/>
      <c r="Z61" s="401"/>
    </row>
    <row r="62" spans="1:26" ht="17.100000000000001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O62" s="401"/>
      <c r="P62" s="401"/>
      <c r="Q62" s="401"/>
      <c r="R62" s="400" t="s">
        <v>435</v>
      </c>
      <c r="S62" s="400"/>
      <c r="T62" s="400"/>
      <c r="U62" s="401"/>
      <c r="V62" s="400" t="s">
        <v>190</v>
      </c>
      <c r="W62" s="400"/>
      <c r="X62" s="400"/>
      <c r="Y62" s="401"/>
      <c r="Z62" s="509"/>
    </row>
    <row r="63" spans="1:26" ht="17.100000000000001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O63" s="400" t="s">
        <v>171</v>
      </c>
      <c r="P63" s="400"/>
      <c r="Q63" s="401"/>
      <c r="R63" s="406" t="s">
        <v>180</v>
      </c>
      <c r="S63" s="426"/>
      <c r="T63" s="406" t="s">
        <v>185</v>
      </c>
      <c r="U63" s="401"/>
      <c r="V63" s="406" t="s">
        <v>180</v>
      </c>
      <c r="W63" s="426"/>
      <c r="X63" s="406" t="s">
        <v>185</v>
      </c>
      <c r="Y63" s="401"/>
      <c r="Z63" s="509" t="s">
        <v>180</v>
      </c>
    </row>
    <row r="64" spans="1:26" ht="17.100000000000001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O64" s="400" t="s">
        <v>172</v>
      </c>
      <c r="P64" s="400"/>
      <c r="Q64" s="509" t="s">
        <v>197</v>
      </c>
      <c r="R64" s="509" t="s">
        <v>257</v>
      </c>
      <c r="S64" s="401"/>
      <c r="T64" s="509" t="s">
        <v>186</v>
      </c>
      <c r="U64" s="401"/>
      <c r="V64" s="509" t="s">
        <v>281</v>
      </c>
      <c r="W64" s="401"/>
      <c r="X64" s="509" t="s">
        <v>186</v>
      </c>
      <c r="Y64" s="401"/>
      <c r="Z64" s="509" t="s">
        <v>186</v>
      </c>
    </row>
    <row r="65" spans="1:35" ht="17.100000000000001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O65" s="405" t="s">
        <v>173</v>
      </c>
      <c r="P65" s="405"/>
      <c r="Q65" s="406" t="s">
        <v>181</v>
      </c>
      <c r="R65" s="425">
        <v>-3</v>
      </c>
      <c r="S65" s="401"/>
      <c r="T65" s="406" t="s">
        <v>461</v>
      </c>
      <c r="U65" s="401"/>
      <c r="V65" s="425">
        <v>-5</v>
      </c>
      <c r="W65" s="401"/>
      <c r="X65" s="406" t="s">
        <v>462</v>
      </c>
      <c r="Y65" s="401"/>
      <c r="Z65" s="511" t="s">
        <v>471</v>
      </c>
    </row>
    <row r="66" spans="1:35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O66" s="401"/>
      <c r="P66" s="401"/>
      <c r="Q66" s="401"/>
      <c r="R66" s="401"/>
      <c r="S66" s="401"/>
      <c r="T66" s="462">
        <f>+R94</f>
        <v>0.54300000000000004</v>
      </c>
      <c r="U66" s="411"/>
      <c r="V66" s="411"/>
      <c r="W66" s="411"/>
      <c r="X66" s="411">
        <f>1-T66</f>
        <v>0.45699999999999996</v>
      </c>
      <c r="Y66" s="401"/>
      <c r="Z66" s="401"/>
    </row>
    <row r="67" spans="1:35" ht="17.100000000000001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O67" s="409" t="s">
        <v>174</v>
      </c>
      <c r="P67" s="401"/>
      <c r="Q67" s="401"/>
      <c r="R67" s="401"/>
      <c r="S67" s="401"/>
      <c r="T67" s="401"/>
      <c r="U67" s="401"/>
      <c r="V67" s="401"/>
      <c r="W67" s="401"/>
      <c r="X67" s="401"/>
      <c r="Y67" s="401"/>
      <c r="Z67" s="401"/>
    </row>
    <row r="68" spans="1:35" ht="17.100000000000001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O68" s="401" t="s">
        <v>322</v>
      </c>
      <c r="P68" s="401"/>
      <c r="Q68" s="500">
        <f t="shared" ref="Q68:Q73" si="9">+R19</f>
        <v>44134</v>
      </c>
      <c r="R68" s="463">
        <f t="shared" ref="R68:R73" si="10">+V19</f>
        <v>9.7000000000000003E-2</v>
      </c>
      <c r="S68" s="411"/>
      <c r="T68" s="463">
        <f>ROUND(+R68*$T$66,4)</f>
        <v>5.2699999999999997E-2</v>
      </c>
      <c r="U68" s="411"/>
      <c r="V68" s="463">
        <f>+'Ftr 3 &amp; 6'!I17</f>
        <v>0.39890000000000003</v>
      </c>
      <c r="W68" s="411"/>
      <c r="X68" s="463">
        <f>ROUND(+V68*$X$66,4)</f>
        <v>0.18229999999999999</v>
      </c>
      <c r="Y68" s="411"/>
      <c r="Z68" s="463">
        <f t="shared" ref="Z68:Z73" si="11">X68+T68</f>
        <v>0.23499999999999999</v>
      </c>
      <c r="AA68" s="41">
        <f>+'Ftr 3 &amp; 6'!G17</f>
        <v>154176</v>
      </c>
    </row>
    <row r="69" spans="1:35" ht="17.100000000000001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O69" s="401" t="s">
        <v>318</v>
      </c>
      <c r="P69" s="401"/>
      <c r="Q69" s="500">
        <f t="shared" si="9"/>
        <v>18037</v>
      </c>
      <c r="R69" s="463">
        <f t="shared" si="10"/>
        <v>3.9600000000000003E-2</v>
      </c>
      <c r="S69" s="411"/>
      <c r="T69" s="463">
        <f>ROUND(+R69*$T$66,4)</f>
        <v>2.1499999999999998E-2</v>
      </c>
      <c r="U69" s="411"/>
      <c r="V69" s="463">
        <f>+'Ftr 3 &amp; 6'!I18</f>
        <v>0.1668</v>
      </c>
      <c r="W69" s="411"/>
      <c r="X69" s="463">
        <f t="shared" ref="X69:X73" si="12">ROUND(+V69*$X$66,4)</f>
        <v>7.6200000000000004E-2</v>
      </c>
      <c r="Y69" s="411"/>
      <c r="Z69" s="463">
        <f t="shared" si="11"/>
        <v>9.7700000000000009E-2</v>
      </c>
      <c r="AA69" s="41">
        <f>+'Ftr 3 &amp; 6'!G18</f>
        <v>64449</v>
      </c>
    </row>
    <row r="70" spans="1:35" ht="17.100000000000001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O70" s="401" t="s">
        <v>319</v>
      </c>
      <c r="P70" s="401"/>
      <c r="Q70" s="500">
        <f t="shared" si="9"/>
        <v>10837</v>
      </c>
      <c r="R70" s="463">
        <f t="shared" si="10"/>
        <v>2.3800000000000002E-2</v>
      </c>
      <c r="S70" s="411"/>
      <c r="T70" s="463">
        <f t="shared" ref="T70:T73" si="13">ROUND(+R70*$T$66,4)</f>
        <v>1.29E-2</v>
      </c>
      <c r="U70" s="411"/>
      <c r="V70" s="463">
        <f>+'Ftr 3 &amp; 6'!I19</f>
        <v>6.5500000000000003E-2</v>
      </c>
      <c r="W70" s="411"/>
      <c r="X70" s="463">
        <f t="shared" si="12"/>
        <v>2.9899999999999999E-2</v>
      </c>
      <c r="Y70" s="411"/>
      <c r="Z70" s="463">
        <f t="shared" si="11"/>
        <v>4.2799999999999998E-2</v>
      </c>
      <c r="AA70" s="41">
        <f>+'Ftr 3 &amp; 6'!G19</f>
        <v>25320</v>
      </c>
    </row>
    <row r="71" spans="1:35" ht="17.2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O71" s="401" t="s">
        <v>320</v>
      </c>
      <c r="P71" s="401"/>
      <c r="Q71" s="500">
        <f t="shared" si="9"/>
        <v>14858</v>
      </c>
      <c r="R71" s="463">
        <f t="shared" si="10"/>
        <v>3.2599999999999997E-2</v>
      </c>
      <c r="S71" s="411"/>
      <c r="T71" s="463">
        <f t="shared" si="13"/>
        <v>1.77E-2</v>
      </c>
      <c r="U71" s="411"/>
      <c r="V71" s="463">
        <f>+'Ftr 3 &amp; 6'!I20</f>
        <v>3.0800000000000001E-2</v>
      </c>
      <c r="W71" s="411"/>
      <c r="X71" s="463">
        <f t="shared" si="12"/>
        <v>1.41E-2</v>
      </c>
      <c r="Y71" s="411"/>
      <c r="Z71" s="463">
        <f t="shared" si="11"/>
        <v>3.1800000000000002E-2</v>
      </c>
      <c r="AA71" s="41">
        <f>+'Ftr 3 &amp; 6'!G20</f>
        <v>11888</v>
      </c>
    </row>
    <row r="72" spans="1:35" ht="17.2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O72" s="401" t="s">
        <v>469</v>
      </c>
      <c r="P72" s="401"/>
      <c r="Q72" s="500">
        <f t="shared" si="9"/>
        <v>364093</v>
      </c>
      <c r="R72" s="463">
        <f t="shared" si="10"/>
        <v>0.79969999999999997</v>
      </c>
      <c r="S72" s="411"/>
      <c r="T72" s="463">
        <f t="shared" si="13"/>
        <v>0.43419999999999997</v>
      </c>
      <c r="U72" s="411"/>
      <c r="V72" s="463">
        <f>+'Ftr 3 &amp; 6'!I22</f>
        <v>0.33800000000000002</v>
      </c>
      <c r="W72" s="411"/>
      <c r="X72" s="463">
        <f t="shared" si="12"/>
        <v>0.1545</v>
      </c>
      <c r="Y72" s="411"/>
      <c r="Z72" s="463">
        <f t="shared" si="11"/>
        <v>0.5887</v>
      </c>
      <c r="AA72" s="41"/>
    </row>
    <row r="73" spans="1:35" ht="14.4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O73" s="401" t="s">
        <v>427</v>
      </c>
      <c r="P73" s="401"/>
      <c r="Q73" s="506">
        <f t="shared" si="9"/>
        <v>3328</v>
      </c>
      <c r="R73" s="463">
        <f t="shared" si="10"/>
        <v>7.3000000000000001E-3</v>
      </c>
      <c r="S73" s="411"/>
      <c r="T73" s="463">
        <f t="shared" si="13"/>
        <v>4.0000000000000001E-3</v>
      </c>
      <c r="U73" s="411"/>
      <c r="V73" s="463">
        <f>+V49</f>
        <v>0</v>
      </c>
      <c r="W73" s="411"/>
      <c r="X73" s="463">
        <f t="shared" si="12"/>
        <v>0</v>
      </c>
      <c r="Y73" s="411"/>
      <c r="Z73" s="463">
        <f t="shared" si="11"/>
        <v>4.0000000000000001E-3</v>
      </c>
      <c r="AA73" s="41"/>
    </row>
    <row r="74" spans="1:35" ht="11.4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O74" s="401"/>
      <c r="P74" s="401"/>
      <c r="Q74" s="401"/>
      <c r="R74" s="512"/>
      <c r="S74" s="411"/>
      <c r="T74" s="512"/>
      <c r="U74" s="411"/>
      <c r="V74" s="512"/>
      <c r="W74" s="411"/>
      <c r="X74" s="512"/>
      <c r="Y74" s="411"/>
      <c r="Z74" s="512"/>
    </row>
    <row r="75" spans="1:35" ht="17.100000000000001" customHeight="1" thickBo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O75" s="401" t="s">
        <v>176</v>
      </c>
      <c r="P75" s="401"/>
      <c r="Q75" s="560">
        <f>SUM(Q68:Q74)</f>
        <v>455287</v>
      </c>
      <c r="R75" s="465">
        <f>SUM(R68:R73)</f>
        <v>0.99999999999999989</v>
      </c>
      <c r="S75" s="5"/>
      <c r="T75" s="465">
        <f>SUM(T68:T73)</f>
        <v>0.54299999999999993</v>
      </c>
      <c r="U75" s="5"/>
      <c r="V75" s="465">
        <f>SUM(V68:V73)</f>
        <v>1.0000000000000002</v>
      </c>
      <c r="W75" s="5"/>
      <c r="X75" s="465">
        <f>SUM(X68:X73)</f>
        <v>0.45699999999999996</v>
      </c>
      <c r="Y75" s="5"/>
      <c r="Z75" s="465">
        <f>SUM(Z68:Z73)</f>
        <v>1</v>
      </c>
      <c r="AA75" s="41">
        <f>SUM(AA68:AA74)</f>
        <v>255833</v>
      </c>
    </row>
    <row r="76" spans="1:35" ht="20.100000000000001" customHeight="1" thickTop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35">
      <c r="A77" s="5"/>
      <c r="B77" s="828" t="s">
        <v>635</v>
      </c>
      <c r="C77" s="828"/>
      <c r="D77" s="828"/>
      <c r="E77" s="828"/>
      <c r="F77" s="828"/>
      <c r="G77" s="828"/>
      <c r="H77" s="828"/>
      <c r="I77" s="828"/>
      <c r="J77" s="828"/>
      <c r="K77" s="828"/>
      <c r="L77" s="366"/>
      <c r="M77" s="365"/>
      <c r="N77" s="365"/>
    </row>
    <row r="78" spans="1:35">
      <c r="B78" s="828" t="s">
        <v>177</v>
      </c>
      <c r="C78" s="828"/>
      <c r="D78" s="828"/>
      <c r="E78" s="828"/>
      <c r="F78" s="828"/>
      <c r="G78" s="828"/>
      <c r="H78" s="828"/>
      <c r="I78" s="828"/>
      <c r="J78" s="828"/>
      <c r="K78" s="828"/>
      <c r="L78" s="365"/>
      <c r="M78" s="365"/>
      <c r="N78" s="365"/>
    </row>
    <row r="79" spans="1:35">
      <c r="B79" s="365"/>
      <c r="C79" s="365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</row>
    <row r="80" spans="1:35">
      <c r="A80" s="5"/>
      <c r="B80" s="367"/>
      <c r="C80" s="367"/>
      <c r="D80" s="367"/>
      <c r="E80" s="367"/>
      <c r="F80" s="368"/>
      <c r="G80" s="368"/>
      <c r="H80" s="368"/>
      <c r="I80" s="368"/>
      <c r="K80" s="369" t="s">
        <v>196</v>
      </c>
      <c r="L80" s="368"/>
      <c r="M80" s="368"/>
      <c r="N80" s="368"/>
      <c r="AA80" s="20"/>
      <c r="AB80" s="20"/>
      <c r="AC80" s="20"/>
      <c r="AD80" s="20"/>
      <c r="AE80" s="20"/>
      <c r="AF80" s="20"/>
      <c r="AG80" s="20"/>
      <c r="AH80" s="20"/>
      <c r="AI80" s="20"/>
    </row>
    <row r="81" spans="1:35">
      <c r="A81" s="21"/>
      <c r="B81" s="367"/>
      <c r="C81" s="370"/>
      <c r="D81" s="370"/>
      <c r="E81" s="370"/>
      <c r="F81" s="369" t="s">
        <v>187</v>
      </c>
      <c r="G81" s="368"/>
      <c r="H81" s="368" t="s">
        <v>192</v>
      </c>
      <c r="I81" s="368"/>
      <c r="K81" s="368"/>
      <c r="L81" s="368"/>
      <c r="M81" s="368"/>
      <c r="N81" s="368"/>
      <c r="AA81" s="20"/>
      <c r="AB81" s="20"/>
      <c r="AC81" s="20"/>
      <c r="AD81" s="20"/>
      <c r="AE81" s="20"/>
      <c r="AF81" s="20"/>
      <c r="AG81" s="20"/>
      <c r="AH81" s="20"/>
      <c r="AI81" s="20"/>
    </row>
    <row r="82" spans="1:35">
      <c r="A82" s="21"/>
      <c r="B82" s="366" t="s">
        <v>171</v>
      </c>
      <c r="C82" s="365"/>
      <c r="D82" s="365"/>
      <c r="E82" s="370"/>
      <c r="F82" s="368" t="s">
        <v>433</v>
      </c>
      <c r="G82" s="368"/>
      <c r="H82" s="368" t="s">
        <v>193</v>
      </c>
      <c r="I82" s="368"/>
      <c r="K82" s="368" t="s">
        <v>178</v>
      </c>
      <c r="L82" s="368"/>
      <c r="M82" s="368"/>
      <c r="N82" s="368"/>
      <c r="AA82" s="20"/>
      <c r="AB82" s="20"/>
      <c r="AC82" s="20"/>
      <c r="AD82" s="20"/>
      <c r="AE82" s="20"/>
      <c r="AF82" s="20"/>
      <c r="AG82" s="20"/>
      <c r="AH82" s="20"/>
      <c r="AI82" s="20"/>
    </row>
    <row r="83" spans="1:35">
      <c r="B83" s="366" t="s">
        <v>172</v>
      </c>
      <c r="C83" s="366"/>
      <c r="D83" s="366"/>
      <c r="E83" s="370"/>
      <c r="F83" s="368" t="s">
        <v>188</v>
      </c>
      <c r="G83" s="368"/>
      <c r="H83" s="368" t="s">
        <v>194</v>
      </c>
      <c r="I83" s="368"/>
      <c r="K83" s="368" t="s">
        <v>197</v>
      </c>
      <c r="L83" s="368"/>
      <c r="M83" s="368"/>
      <c r="N83" s="368"/>
      <c r="AA83" s="20"/>
      <c r="AB83" s="20"/>
      <c r="AC83" s="20"/>
      <c r="AD83" s="20"/>
      <c r="AE83" s="20"/>
      <c r="AF83" s="20"/>
      <c r="AG83" s="20"/>
      <c r="AH83" s="20"/>
      <c r="AI83" s="20"/>
    </row>
    <row r="84" spans="1:35">
      <c r="B84" s="371"/>
      <c r="C84" s="372"/>
      <c r="D84" s="372"/>
      <c r="E84" s="370"/>
      <c r="F84" s="373"/>
      <c r="G84" s="368"/>
      <c r="H84" s="373"/>
      <c r="I84" s="368"/>
      <c r="K84" s="373"/>
      <c r="L84" s="373"/>
      <c r="M84" s="373"/>
      <c r="N84" s="373" t="s">
        <v>561</v>
      </c>
      <c r="O84" s="373" t="s">
        <v>562</v>
      </c>
      <c r="T84" s="1" t="s">
        <v>197</v>
      </c>
      <c r="AA84" s="20"/>
      <c r="AB84" s="20"/>
      <c r="AC84" s="20"/>
      <c r="AD84" s="20"/>
      <c r="AE84" s="20"/>
      <c r="AF84" s="20"/>
      <c r="AG84" s="20"/>
      <c r="AH84" s="20"/>
      <c r="AI84" s="20"/>
    </row>
    <row r="85" spans="1:35">
      <c r="B85" s="367"/>
      <c r="C85" s="370"/>
      <c r="D85" s="370"/>
      <c r="E85" s="370"/>
      <c r="F85" s="374"/>
      <c r="G85" s="374"/>
      <c r="H85" s="374"/>
      <c r="I85" s="374"/>
      <c r="K85" s="374"/>
      <c r="L85" s="374"/>
      <c r="M85" s="556" t="s">
        <v>563</v>
      </c>
      <c r="N85" s="556" t="s">
        <v>677</v>
      </c>
      <c r="O85" s="556" t="s">
        <v>678</v>
      </c>
      <c r="Q85" s="556" t="s">
        <v>564</v>
      </c>
      <c r="R85" s="741" t="s">
        <v>329</v>
      </c>
      <c r="T85" s="741" t="s">
        <v>692</v>
      </c>
      <c r="AA85" s="22"/>
      <c r="AB85" s="22"/>
      <c r="AC85" s="20"/>
      <c r="AD85" s="20"/>
      <c r="AE85" s="20"/>
      <c r="AF85" s="20"/>
      <c r="AG85" s="20"/>
      <c r="AH85" s="20"/>
      <c r="AI85" s="20"/>
    </row>
    <row r="86" spans="1:35">
      <c r="B86" s="367" t="s">
        <v>175</v>
      </c>
      <c r="C86" s="370"/>
      <c r="D86" s="370"/>
      <c r="E86" s="370"/>
      <c r="F86" s="374">
        <v>15724919.741</v>
      </c>
      <c r="G86" s="374"/>
      <c r="H86" s="374"/>
      <c r="I86" s="374"/>
      <c r="K86" s="559">
        <v>16108796.941</v>
      </c>
      <c r="L86" s="374"/>
      <c r="M86" s="374">
        <f>ROUND(+K86/365,0)</f>
        <v>44134</v>
      </c>
      <c r="N86" s="374">
        <v>204061</v>
      </c>
      <c r="O86" s="374">
        <v>198310</v>
      </c>
      <c r="Q86" s="551">
        <f>+O86/M86</f>
        <v>4.4933611274754162</v>
      </c>
      <c r="R86" s="283">
        <f>+'Ftr 3 &amp; 6'!T61</f>
        <v>152184</v>
      </c>
      <c r="T86" s="283">
        <f>+K86/R86</f>
        <v>105.85079207406822</v>
      </c>
      <c r="AA86" s="22"/>
      <c r="AB86" s="22"/>
      <c r="AC86" s="20"/>
      <c r="AD86" s="20"/>
      <c r="AE86" s="20"/>
      <c r="AF86" s="20"/>
      <c r="AG86" s="20"/>
      <c r="AH86" s="20"/>
      <c r="AI86" s="20"/>
    </row>
    <row r="87" spans="1:35">
      <c r="B87" s="367" t="s">
        <v>317</v>
      </c>
      <c r="C87" s="370"/>
      <c r="D87" s="370"/>
      <c r="E87" s="370"/>
      <c r="F87" s="374">
        <v>3940641.65</v>
      </c>
      <c r="G87" s="374"/>
      <c r="H87" s="374"/>
      <c r="I87" s="374"/>
      <c r="K87" s="559">
        <v>6583325.7199999997</v>
      </c>
      <c r="L87" s="374"/>
      <c r="M87" s="374">
        <f t="shared" ref="M87:M91" si="14">ROUND(+K87/365,0)</f>
        <v>18037</v>
      </c>
      <c r="N87" s="374">
        <v>84878.075244440668</v>
      </c>
      <c r="O87" s="374">
        <v>82486</v>
      </c>
      <c r="Q87" s="551">
        <f t="shared" ref="Q87:Q90" si="15">+O87/M87</f>
        <v>4.5731551810167987</v>
      </c>
      <c r="R87" s="283">
        <f>+'Ftr 3 &amp; 6'!T62</f>
        <v>16243</v>
      </c>
      <c r="T87" s="283">
        <f t="shared" ref="T87:T91" si="16">+K87/R87</f>
        <v>405.3023283876131</v>
      </c>
      <c r="AA87" s="22"/>
      <c r="AB87" s="22"/>
      <c r="AC87" s="20"/>
      <c r="AD87" s="20"/>
      <c r="AE87" s="20"/>
      <c r="AF87" s="20"/>
      <c r="AG87" s="20"/>
      <c r="AH87" s="20"/>
      <c r="AI87" s="20"/>
    </row>
    <row r="88" spans="1:35">
      <c r="B88" s="367" t="s">
        <v>291</v>
      </c>
      <c r="C88" s="370"/>
      <c r="D88" s="370"/>
      <c r="E88" s="370"/>
      <c r="F88" s="374"/>
      <c r="G88" s="374"/>
      <c r="H88" s="374"/>
      <c r="I88" s="374"/>
      <c r="K88" s="559">
        <v>3955641.3999999985</v>
      </c>
      <c r="L88" s="374"/>
      <c r="M88" s="374">
        <f t="shared" si="14"/>
        <v>10837</v>
      </c>
      <c r="N88" s="374">
        <v>37205.190552116597</v>
      </c>
      <c r="O88" s="374">
        <v>36157</v>
      </c>
      <c r="Q88" s="551">
        <f t="shared" si="15"/>
        <v>3.336439974162591</v>
      </c>
      <c r="R88" s="283">
        <f>+'Ftr 3 &amp; 6'!T63</f>
        <v>439</v>
      </c>
      <c r="T88" s="283">
        <f t="shared" si="16"/>
        <v>9010.57266514806</v>
      </c>
      <c r="AA88" s="22"/>
      <c r="AB88" s="22"/>
      <c r="AC88" s="20"/>
      <c r="AD88" s="20"/>
      <c r="AE88" s="20"/>
      <c r="AF88" s="20"/>
      <c r="AG88" s="20"/>
      <c r="AH88" s="20"/>
      <c r="AI88" s="20"/>
    </row>
    <row r="89" spans="1:35">
      <c r="B89" s="367" t="s">
        <v>289</v>
      </c>
      <c r="C89" s="370"/>
      <c r="D89" s="370"/>
      <c r="E89" s="370"/>
      <c r="F89" s="374"/>
      <c r="G89" s="374"/>
      <c r="H89" s="374"/>
      <c r="I89" s="374"/>
      <c r="K89" s="559">
        <v>5422994.2399999993</v>
      </c>
      <c r="L89" s="374"/>
      <c r="M89" s="374">
        <f t="shared" si="14"/>
        <v>14858</v>
      </c>
      <c r="N89" s="374">
        <v>27521.734203442731</v>
      </c>
      <c r="O89" s="374">
        <v>26746</v>
      </c>
      <c r="Q89" s="551">
        <f t="shared" si="15"/>
        <v>1.8001076860950329</v>
      </c>
      <c r="R89" s="283">
        <f>+'Ftr 3 &amp; 6'!T64</f>
        <v>138</v>
      </c>
      <c r="T89" s="283">
        <f t="shared" si="16"/>
        <v>39297.059710144924</v>
      </c>
      <c r="AA89" s="22"/>
      <c r="AB89" s="22"/>
      <c r="AC89" s="20"/>
      <c r="AD89" s="20"/>
      <c r="AE89" s="20"/>
      <c r="AF89" s="20"/>
      <c r="AG89" s="20"/>
      <c r="AH89" s="20"/>
      <c r="AI89" s="20"/>
    </row>
    <row r="90" spans="1:35">
      <c r="B90" s="367" t="s">
        <v>290</v>
      </c>
      <c r="C90" s="370"/>
      <c r="D90" s="370"/>
      <c r="E90" s="370"/>
      <c r="F90" s="374"/>
      <c r="G90" s="374"/>
      <c r="H90" s="374"/>
      <c r="I90" s="374"/>
      <c r="K90" s="559">
        <v>132893895</v>
      </c>
      <c r="L90" s="374"/>
      <c r="M90" s="374">
        <f t="shared" si="14"/>
        <v>364093</v>
      </c>
      <c r="N90" s="374">
        <v>509055</v>
      </c>
      <c r="O90" s="374">
        <v>494708</v>
      </c>
      <c r="Q90" s="551">
        <f t="shared" si="15"/>
        <v>1.3587407612890112</v>
      </c>
      <c r="R90" s="283">
        <f>+'Ftr 3 &amp; 6'!T65</f>
        <v>15</v>
      </c>
      <c r="T90" s="283">
        <f t="shared" si="16"/>
        <v>8859593</v>
      </c>
      <c r="AA90" s="22"/>
      <c r="AB90" s="22"/>
      <c r="AC90" s="20"/>
      <c r="AD90" s="20"/>
      <c r="AE90" s="20"/>
      <c r="AF90" s="20"/>
      <c r="AG90" s="20"/>
      <c r="AH90" s="20"/>
      <c r="AI90" s="20"/>
    </row>
    <row r="91" spans="1:35">
      <c r="B91" s="367" t="s">
        <v>427</v>
      </c>
      <c r="C91" s="370"/>
      <c r="D91" s="370"/>
      <c r="E91" s="370"/>
      <c r="F91" s="374">
        <v>0</v>
      </c>
      <c r="G91" s="374"/>
      <c r="H91" s="374"/>
      <c r="I91" s="374"/>
      <c r="K91" s="559">
        <v>1214816</v>
      </c>
      <c r="L91" s="374"/>
      <c r="M91" s="374">
        <f t="shared" si="14"/>
        <v>3328</v>
      </c>
      <c r="N91" s="374">
        <v>0</v>
      </c>
      <c r="O91" s="374">
        <v>0</v>
      </c>
      <c r="R91" s="283">
        <f>+'Ftr 3 &amp; 6'!T66</f>
        <v>33</v>
      </c>
      <c r="T91" s="283">
        <f t="shared" si="16"/>
        <v>36812.606060606064</v>
      </c>
      <c r="AA91" s="22"/>
      <c r="AB91" s="22"/>
      <c r="AC91" s="20"/>
      <c r="AD91" s="20"/>
      <c r="AE91" s="20"/>
      <c r="AF91" s="20"/>
      <c r="AG91" s="20"/>
      <c r="AH91" s="20"/>
      <c r="AI91" s="20"/>
    </row>
    <row r="92" spans="1:35">
      <c r="B92" s="367"/>
      <c r="C92" s="370"/>
      <c r="D92" s="370"/>
      <c r="E92" s="370"/>
      <c r="F92" s="374"/>
      <c r="G92" s="374"/>
      <c r="H92" s="374"/>
      <c r="I92" s="374"/>
      <c r="K92" s="374"/>
      <c r="L92" s="374"/>
      <c r="M92" s="374"/>
      <c r="N92" s="374"/>
      <c r="O92" s="281"/>
      <c r="AA92" s="22"/>
      <c r="AB92" s="176"/>
      <c r="AC92" s="20"/>
      <c r="AD92" s="20"/>
      <c r="AE92" s="20"/>
      <c r="AF92" s="20"/>
      <c r="AG92" s="20"/>
      <c r="AH92" s="20"/>
      <c r="AI92" s="20"/>
    </row>
    <row r="93" spans="1:35">
      <c r="B93" s="367"/>
      <c r="C93" s="370"/>
      <c r="D93" s="370"/>
      <c r="E93" s="370"/>
      <c r="F93" s="375"/>
      <c r="G93" s="374"/>
      <c r="H93" s="375"/>
      <c r="I93" s="374"/>
      <c r="K93" s="375"/>
      <c r="L93" s="375"/>
      <c r="M93" s="375"/>
      <c r="N93" s="375"/>
      <c r="AA93" s="22"/>
      <c r="AB93" s="176"/>
      <c r="AC93" s="20"/>
      <c r="AD93" s="20"/>
      <c r="AE93" s="20"/>
      <c r="AF93" s="20"/>
      <c r="AG93" s="20"/>
      <c r="AH93" s="20"/>
      <c r="AI93" s="20"/>
    </row>
    <row r="94" spans="1:35" ht="15.75" thickBot="1">
      <c r="B94" s="367" t="s">
        <v>178</v>
      </c>
      <c r="C94" s="370"/>
      <c r="D94" s="370"/>
      <c r="E94" s="370"/>
      <c r="F94" s="374">
        <f>SUM(F86:F92)</f>
        <v>19665561.390999999</v>
      </c>
      <c r="G94" s="374"/>
      <c r="H94" s="374">
        <f>SUM(H86:H92)</f>
        <v>0</v>
      </c>
      <c r="I94" s="374"/>
      <c r="K94" s="374">
        <f>SUM(K86:K92)</f>
        <v>166179469.301</v>
      </c>
      <c r="L94" s="374"/>
      <c r="M94" s="374">
        <f>SUM(M86:M92)</f>
        <v>455287</v>
      </c>
      <c r="N94" s="374">
        <f>SUM(N86:N92)</f>
        <v>862721</v>
      </c>
      <c r="O94" s="374">
        <f>SUM(O86:O92)</f>
        <v>838407</v>
      </c>
      <c r="Q94" s="551">
        <f>+O94/M94</f>
        <v>1.8414911912705612</v>
      </c>
      <c r="R94" s="571">
        <f>ROUND(M94/O94,4)</f>
        <v>0.54300000000000004</v>
      </c>
      <c r="AA94" s="22"/>
      <c r="AB94" s="22"/>
      <c r="AC94" s="20"/>
      <c r="AD94" s="20"/>
      <c r="AE94" s="20"/>
      <c r="AF94" s="20"/>
      <c r="AG94" s="20"/>
      <c r="AH94" s="20"/>
      <c r="AI94" s="20"/>
    </row>
    <row r="95" spans="1:35" ht="16.5" thickTop="1" thickBot="1">
      <c r="B95" s="367"/>
      <c r="C95" s="376"/>
      <c r="D95" s="376"/>
      <c r="E95" s="376"/>
      <c r="F95" s="377"/>
      <c r="G95" s="374"/>
      <c r="H95" s="377"/>
      <c r="I95" s="374"/>
      <c r="J95" s="374" t="s">
        <v>290</v>
      </c>
      <c r="K95" s="377"/>
      <c r="L95" s="377"/>
      <c r="M95" s="377">
        <f>SUM(M86:M90)</f>
        <v>451959</v>
      </c>
      <c r="N95" s="377"/>
      <c r="O95" s="377">
        <f>+O94</f>
        <v>838407</v>
      </c>
      <c r="Q95" s="551">
        <f>+O95/M95</f>
        <v>1.8550510112642962</v>
      </c>
      <c r="AA95" s="22"/>
      <c r="AB95" s="22"/>
      <c r="AC95" s="20"/>
      <c r="AD95" s="20"/>
      <c r="AE95" s="20"/>
      <c r="AF95" s="20"/>
      <c r="AG95" s="20"/>
      <c r="AH95" s="20"/>
      <c r="AI95" s="20"/>
    </row>
    <row r="96" spans="1:35" ht="16.5" thickTop="1" thickBot="1">
      <c r="B96" s="367"/>
      <c r="C96" s="370"/>
      <c r="D96" s="370"/>
      <c r="E96" s="370"/>
      <c r="F96" s="374"/>
      <c r="G96" s="374"/>
      <c r="H96" s="374"/>
      <c r="I96" s="374"/>
      <c r="J96" s="374" t="s">
        <v>441</v>
      </c>
      <c r="K96" s="377"/>
      <c r="L96" s="374"/>
      <c r="M96" s="374">
        <f t="shared" ref="M96:M97" si="17">ROUND(+K96/365,0)</f>
        <v>0</v>
      </c>
      <c r="N96" s="374"/>
      <c r="Q96" s="551"/>
      <c r="R96" s="15"/>
      <c r="S96" s="5"/>
      <c r="T96" s="15"/>
      <c r="U96" s="5"/>
      <c r="V96" s="15"/>
      <c r="W96" s="5"/>
      <c r="X96" s="15"/>
      <c r="Y96" s="5"/>
      <c r="Z96" s="15"/>
      <c r="AA96" s="22"/>
      <c r="AB96" s="22"/>
      <c r="AC96" s="20"/>
      <c r="AD96" s="20"/>
      <c r="AE96" s="20"/>
      <c r="AF96" s="20"/>
      <c r="AG96" s="20"/>
      <c r="AH96" s="20"/>
      <c r="AI96" s="20"/>
    </row>
    <row r="97" spans="2:35" ht="15.75" thickTop="1">
      <c r="B97" s="367"/>
      <c r="C97" s="370"/>
      <c r="D97" s="370"/>
      <c r="E97" s="370"/>
      <c r="F97" s="374"/>
      <c r="G97" s="374"/>
      <c r="H97" s="374"/>
      <c r="I97" s="374"/>
      <c r="J97" s="374" t="s">
        <v>576</v>
      </c>
      <c r="K97" s="377"/>
      <c r="L97" s="374"/>
      <c r="M97" s="374">
        <f t="shared" si="17"/>
        <v>0</v>
      </c>
      <c r="N97" s="374"/>
      <c r="Q97" s="551"/>
      <c r="AA97" s="22"/>
      <c r="AB97" s="22"/>
      <c r="AC97" s="20"/>
      <c r="AD97" s="20"/>
      <c r="AE97" s="20"/>
      <c r="AF97" s="20"/>
      <c r="AG97" s="20"/>
      <c r="AH97" s="20"/>
      <c r="AI97" s="20"/>
    </row>
    <row r="98" spans="2:35">
      <c r="B98" s="370"/>
      <c r="C98" s="370"/>
      <c r="D98" s="370"/>
      <c r="E98" s="370"/>
      <c r="F98" s="374"/>
      <c r="G98" s="374"/>
      <c r="H98" s="374"/>
      <c r="I98" s="374"/>
      <c r="J98" s="374"/>
      <c r="L98" s="374"/>
      <c r="M98" s="374"/>
      <c r="N98" s="374"/>
      <c r="O98" s="4"/>
      <c r="P98" s="4"/>
      <c r="Q98" s="551"/>
      <c r="R98" s="4"/>
      <c r="S98" s="4"/>
      <c r="T98" s="4"/>
      <c r="U98" s="17"/>
      <c r="AA98" s="22"/>
      <c r="AB98" s="22"/>
      <c r="AC98" s="20"/>
      <c r="AD98" s="20"/>
      <c r="AE98" s="20"/>
      <c r="AF98" s="20"/>
      <c r="AG98" s="20"/>
      <c r="AH98" s="20"/>
      <c r="AI98" s="20"/>
    </row>
    <row r="99" spans="2:35">
      <c r="B99" s="370"/>
      <c r="C99" s="370"/>
      <c r="D99" s="370"/>
      <c r="E99" s="370"/>
      <c r="F99" s="378"/>
      <c r="G99" s="378"/>
      <c r="H99" s="378"/>
      <c r="I99" s="378"/>
      <c r="J99" s="378"/>
      <c r="K99" s="374"/>
      <c r="L99" s="378"/>
      <c r="M99" s="378">
        <f>SUM(M86:M89)+M91</f>
        <v>91194</v>
      </c>
      <c r="N99" s="378">
        <f>SUM(N86:N89)+N91</f>
        <v>353666.00000000006</v>
      </c>
      <c r="O99" s="378">
        <f>SUM(O86:O89)+O91</f>
        <v>343699</v>
      </c>
      <c r="P99" s="4"/>
      <c r="Q99" s="551">
        <f t="shared" ref="Q99" si="18">+O99/M99</f>
        <v>3.7688773384213872</v>
      </c>
      <c r="R99" s="720">
        <f>+M99/O99</f>
        <v>0.26533100183590874</v>
      </c>
      <c r="S99" s="4"/>
      <c r="T99" s="4"/>
      <c r="U99" s="17"/>
      <c r="AA99" s="23"/>
      <c r="AB99" s="23"/>
    </row>
    <row r="100" spans="2:35">
      <c r="B100" s="367"/>
      <c r="C100" s="370"/>
      <c r="D100" s="370"/>
      <c r="E100" s="370"/>
      <c r="F100" s="374"/>
      <c r="G100" s="374"/>
      <c r="H100" s="374"/>
      <c r="I100" s="374"/>
      <c r="J100" s="374"/>
      <c r="K100" s="374"/>
      <c r="L100" s="374"/>
      <c r="M100" s="374"/>
      <c r="N100" s="374"/>
      <c r="O100" s="4"/>
      <c r="P100" s="4"/>
      <c r="Q100" s="4"/>
      <c r="R100" s="18"/>
      <c r="S100" s="4"/>
      <c r="T100" s="4"/>
      <c r="U100" s="17"/>
    </row>
    <row r="101" spans="2:35">
      <c r="B101" s="367"/>
      <c r="C101" s="370"/>
      <c r="D101" s="370"/>
      <c r="E101" s="370"/>
      <c r="F101" s="374"/>
      <c r="G101" s="374"/>
      <c r="H101" s="374"/>
      <c r="I101" s="374"/>
      <c r="J101" s="374"/>
      <c r="K101" s="374"/>
      <c r="L101" s="374"/>
      <c r="M101" s="374"/>
      <c r="N101" s="374"/>
      <c r="O101" s="19"/>
      <c r="P101" s="19"/>
      <c r="Q101" s="19"/>
      <c r="S101" s="20"/>
      <c r="T101" s="20"/>
      <c r="U101" s="20"/>
      <c r="V101" s="20"/>
      <c r="W101" s="20"/>
      <c r="X101" s="20"/>
      <c r="Y101" s="20"/>
      <c r="Z101" s="20"/>
    </row>
    <row r="102" spans="2:35">
      <c r="B102" s="367"/>
      <c r="C102" s="370"/>
      <c r="D102" s="370"/>
      <c r="E102" s="370"/>
      <c r="F102" s="374"/>
      <c r="G102" s="374"/>
      <c r="H102" s="374"/>
      <c r="I102" s="374"/>
      <c r="J102" s="374"/>
      <c r="K102" s="374"/>
      <c r="L102" s="374"/>
      <c r="M102" s="374"/>
      <c r="N102" s="374"/>
      <c r="O102" s="262"/>
      <c r="P102" s="262"/>
      <c r="Q102" s="262"/>
      <c r="R102" s="262"/>
      <c r="S102" s="225"/>
      <c r="T102" s="225"/>
      <c r="U102" s="225"/>
      <c r="V102" s="225"/>
      <c r="W102" s="20"/>
      <c r="X102" s="20"/>
      <c r="Y102" s="20"/>
      <c r="Z102" s="20"/>
    </row>
    <row r="103" spans="2:35">
      <c r="B103" s="367"/>
      <c r="C103" s="370"/>
      <c r="D103" s="370"/>
      <c r="E103" s="370"/>
      <c r="F103" s="374"/>
      <c r="G103" s="374"/>
      <c r="H103" s="374"/>
      <c r="I103" s="374"/>
      <c r="J103" s="374"/>
      <c r="K103" s="374"/>
      <c r="L103" s="374"/>
      <c r="M103" s="374"/>
      <c r="N103" s="374"/>
      <c r="O103" s="263"/>
      <c r="P103" s="262"/>
      <c r="Q103" s="262"/>
      <c r="R103" s="262"/>
      <c r="S103" s="225"/>
      <c r="T103" s="262"/>
      <c r="U103" s="225"/>
      <c r="V103" s="225"/>
      <c r="W103" s="20"/>
      <c r="X103" s="20"/>
      <c r="Y103" s="20"/>
      <c r="Z103" s="20"/>
    </row>
    <row r="104" spans="2:35">
      <c r="B104" s="367"/>
      <c r="C104" s="370"/>
      <c r="D104" s="370"/>
      <c r="E104" s="370"/>
      <c r="F104" s="374"/>
      <c r="G104" s="374"/>
      <c r="H104" s="374"/>
      <c r="I104" s="374"/>
      <c r="J104" s="374"/>
      <c r="K104" s="374"/>
      <c r="L104" s="374"/>
      <c r="M104" s="374"/>
      <c r="N104" s="374"/>
      <c r="O104" s="263"/>
      <c r="P104" s="40"/>
      <c r="Q104" s="262"/>
      <c r="R104" s="40"/>
      <c r="S104" s="225"/>
      <c r="T104" s="40"/>
      <c r="U104" s="225"/>
      <c r="V104" s="225"/>
      <c r="W104" s="20"/>
      <c r="X104" s="20"/>
      <c r="Y104" s="20"/>
      <c r="Z104" s="20"/>
    </row>
    <row r="105" spans="2:35">
      <c r="B105" s="367"/>
      <c r="C105" s="370"/>
      <c r="D105" s="370"/>
      <c r="E105" s="370"/>
      <c r="F105" s="374"/>
      <c r="G105" s="374"/>
      <c r="H105" s="374"/>
      <c r="I105" s="374"/>
      <c r="J105" s="374"/>
      <c r="K105" s="374"/>
      <c r="L105" s="374"/>
      <c r="M105" s="374"/>
      <c r="N105" s="374"/>
      <c r="O105" s="262"/>
      <c r="P105" s="262"/>
      <c r="Q105" s="262"/>
      <c r="R105" s="42"/>
      <c r="S105" s="225"/>
      <c r="T105" s="262"/>
      <c r="U105" s="225"/>
      <c r="V105" s="225"/>
      <c r="W105" s="20"/>
      <c r="X105" s="20"/>
      <c r="Y105" s="20"/>
      <c r="Z105" s="20"/>
    </row>
    <row r="106" spans="2:35">
      <c r="B106" s="367"/>
      <c r="C106" s="370"/>
      <c r="D106" s="370"/>
      <c r="E106" s="370"/>
      <c r="F106" s="374"/>
      <c r="G106" s="374"/>
      <c r="H106" s="374"/>
      <c r="I106" s="374"/>
      <c r="J106" s="374"/>
      <c r="K106" s="374"/>
      <c r="L106" s="374"/>
      <c r="M106" s="374"/>
      <c r="N106" s="374"/>
      <c r="O106" s="235"/>
      <c r="P106" s="43"/>
      <c r="Q106" s="235"/>
      <c r="R106" s="235"/>
      <c r="S106" s="235"/>
      <c r="T106" s="235"/>
      <c r="U106" s="235"/>
      <c r="V106" s="235"/>
      <c r="W106" s="22"/>
      <c r="X106" s="22"/>
      <c r="Y106" s="22"/>
      <c r="Z106" s="22"/>
    </row>
    <row r="107" spans="2:35">
      <c r="B107" s="367"/>
      <c r="C107" s="370"/>
      <c r="D107" s="370"/>
      <c r="E107" s="370"/>
      <c r="F107" s="375"/>
      <c r="G107" s="374"/>
      <c r="H107" s="375"/>
      <c r="I107" s="374"/>
      <c r="J107" s="375"/>
      <c r="K107" s="374"/>
      <c r="L107" s="375"/>
      <c r="M107" s="375"/>
      <c r="N107" s="375"/>
      <c r="O107" s="235"/>
      <c r="P107" s="235"/>
      <c r="Q107" s="235"/>
      <c r="R107" s="235"/>
      <c r="S107" s="235"/>
      <c r="T107" s="235"/>
      <c r="U107" s="235"/>
      <c r="V107" s="235"/>
      <c r="W107" s="22"/>
      <c r="X107" s="22"/>
      <c r="Y107" s="22"/>
      <c r="Z107" s="22"/>
    </row>
    <row r="108" spans="2:35" ht="15.75" thickBot="1">
      <c r="B108" s="367"/>
      <c r="C108" s="370"/>
      <c r="D108" s="370"/>
      <c r="E108" s="370"/>
      <c r="F108" s="374"/>
      <c r="G108" s="374"/>
      <c r="H108" s="374"/>
      <c r="I108" s="374"/>
      <c r="J108" s="374"/>
      <c r="K108" s="374"/>
      <c r="L108" s="374"/>
      <c r="M108" s="374"/>
      <c r="N108" s="374"/>
      <c r="O108" s="235"/>
      <c r="P108" s="235"/>
      <c r="Q108" s="235"/>
      <c r="R108" s="235"/>
      <c r="S108" s="235"/>
      <c r="T108" s="235"/>
      <c r="U108" s="235"/>
      <c r="V108" s="235"/>
      <c r="W108" s="22"/>
      <c r="X108" s="22"/>
      <c r="Y108" s="22"/>
      <c r="Z108" s="22"/>
    </row>
    <row r="109" spans="2:35" ht="15.75" thickTop="1">
      <c r="B109" s="370"/>
      <c r="C109" s="370"/>
      <c r="D109" s="370"/>
      <c r="E109" s="370"/>
      <c r="F109" s="379"/>
      <c r="G109" s="370"/>
      <c r="H109" s="379"/>
      <c r="I109" s="370"/>
      <c r="J109" s="379"/>
      <c r="K109" s="370"/>
      <c r="L109" s="379"/>
      <c r="M109" s="379"/>
      <c r="N109" s="379"/>
      <c r="O109" s="235"/>
      <c r="P109" s="235"/>
      <c r="Q109" s="235"/>
      <c r="R109" s="235"/>
      <c r="S109" s="235"/>
      <c r="T109" s="235"/>
      <c r="U109" s="235"/>
      <c r="V109" s="235"/>
      <c r="W109" s="22"/>
      <c r="X109" s="22"/>
      <c r="Y109" s="22"/>
      <c r="Z109" s="22"/>
    </row>
    <row r="110" spans="2:35">
      <c r="B110" s="370"/>
      <c r="C110" s="370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235"/>
      <c r="P110" s="235"/>
      <c r="Q110" s="235"/>
      <c r="R110" s="235"/>
      <c r="S110" s="235"/>
      <c r="T110" s="235"/>
      <c r="U110" s="235"/>
      <c r="V110" s="235"/>
      <c r="W110" s="22"/>
      <c r="X110" s="22"/>
      <c r="Y110" s="22"/>
      <c r="Z110" s="22"/>
    </row>
    <row r="111" spans="2:3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35"/>
      <c r="P111" s="235"/>
      <c r="Q111" s="235"/>
      <c r="R111" s="235"/>
      <c r="S111" s="235"/>
      <c r="T111" s="235"/>
      <c r="U111" s="235"/>
      <c r="V111" s="235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</row>
    <row r="112" spans="2:3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35"/>
      <c r="P112" s="235"/>
      <c r="Q112" s="235"/>
      <c r="R112" s="235"/>
      <c r="S112" s="235"/>
      <c r="T112" s="235"/>
      <c r="U112" s="235"/>
      <c r="V112" s="235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</row>
    <row r="113" spans="2:34">
      <c r="B113" s="12"/>
      <c r="C113" s="22"/>
      <c r="D113" s="22"/>
      <c r="E113" s="22"/>
      <c r="F113" s="22"/>
      <c r="G113" s="22"/>
      <c r="H113" s="22"/>
      <c r="I113" s="22"/>
      <c r="J113" s="22"/>
      <c r="K113" s="22"/>
      <c r="L113" s="176"/>
      <c r="M113" s="22"/>
      <c r="N113" s="22"/>
      <c r="O113" s="235"/>
      <c r="P113" s="182"/>
      <c r="Q113" s="235"/>
      <c r="R113" s="182"/>
      <c r="S113" s="235"/>
      <c r="T113" s="235"/>
      <c r="U113" s="235"/>
      <c r="V113" s="235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</row>
    <row r="114" spans="2:34">
      <c r="B114" s="1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35"/>
      <c r="P114" s="182"/>
      <c r="Q114" s="235"/>
      <c r="R114" s="182"/>
      <c r="S114" s="235"/>
      <c r="T114" s="182"/>
      <c r="U114" s="235"/>
      <c r="V114" s="235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</row>
    <row r="115" spans="2:34">
      <c r="B115" s="1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82"/>
      <c r="P115" s="182"/>
      <c r="Q115" s="182"/>
      <c r="R115" s="182"/>
      <c r="S115" s="235"/>
      <c r="T115" s="182"/>
      <c r="U115" s="235"/>
      <c r="V115" s="235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</row>
    <row r="116" spans="2:34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35"/>
      <c r="P116" s="235"/>
      <c r="Q116" s="235"/>
      <c r="R116" s="235"/>
      <c r="S116" s="235"/>
      <c r="T116" s="235"/>
      <c r="U116" s="235"/>
      <c r="V116" s="235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</row>
    <row r="117" spans="2:34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35"/>
      <c r="P117" s="235"/>
      <c r="Q117" s="235"/>
      <c r="R117" s="235"/>
      <c r="S117" s="235"/>
      <c r="T117" s="235"/>
      <c r="U117" s="235"/>
      <c r="V117" s="235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</row>
    <row r="118" spans="2:34">
      <c r="B118" s="1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</row>
    <row r="119" spans="2:34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</row>
    <row r="120" spans="2:34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3"/>
      <c r="P120" s="316"/>
      <c r="Q120" s="316"/>
      <c r="R120" s="316"/>
      <c r="S120" s="316"/>
      <c r="T120" s="316"/>
      <c r="U120" s="316"/>
      <c r="V120" s="316"/>
      <c r="W120" s="23"/>
      <c r="X120" s="23"/>
      <c r="Y120" s="23"/>
      <c r="Z120" s="23"/>
      <c r="AA120" s="22"/>
      <c r="AB120" s="22"/>
      <c r="AC120" s="22"/>
      <c r="AD120" s="22"/>
      <c r="AE120" s="22"/>
      <c r="AF120" s="22"/>
      <c r="AG120" s="22"/>
      <c r="AH120" s="22"/>
    </row>
    <row r="121" spans="2:34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35"/>
      <c r="Q121" s="235"/>
      <c r="R121" s="235"/>
      <c r="S121" s="235"/>
      <c r="T121" s="235"/>
      <c r="U121" s="43"/>
      <c r="V121" s="43"/>
      <c r="AA121" s="22"/>
      <c r="AB121" s="22"/>
      <c r="AC121" s="22"/>
      <c r="AD121" s="22"/>
      <c r="AE121" s="22"/>
      <c r="AF121" s="22"/>
      <c r="AG121" s="22"/>
      <c r="AH121" s="22"/>
    </row>
    <row r="122" spans="2:34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35"/>
      <c r="Q122" s="235"/>
      <c r="R122" s="235"/>
      <c r="S122" s="235"/>
      <c r="T122" s="235"/>
      <c r="U122" s="43"/>
      <c r="V122" s="43"/>
      <c r="AA122" s="22"/>
      <c r="AB122" s="22"/>
      <c r="AC122" s="22"/>
      <c r="AD122" s="22"/>
      <c r="AE122" s="22"/>
      <c r="AF122" s="22"/>
      <c r="AG122" s="22"/>
      <c r="AH122" s="22"/>
    </row>
    <row r="123" spans="2:34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35"/>
      <c r="Q123" s="235"/>
      <c r="R123" s="235"/>
      <c r="S123" s="235"/>
      <c r="T123" s="235"/>
      <c r="U123" s="43"/>
      <c r="V123" s="43"/>
      <c r="AA123" s="22"/>
      <c r="AB123" s="22"/>
      <c r="AC123" s="22"/>
      <c r="AD123" s="22"/>
      <c r="AE123" s="22"/>
      <c r="AF123" s="22"/>
      <c r="AG123" s="22"/>
      <c r="AH123" s="22"/>
    </row>
    <row r="124" spans="2:34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35"/>
      <c r="Q124" s="235"/>
      <c r="R124" s="235"/>
      <c r="S124" s="235"/>
      <c r="T124" s="235"/>
      <c r="U124" s="43"/>
      <c r="V124" s="43"/>
      <c r="AA124" s="22"/>
      <c r="AB124" s="22"/>
      <c r="AC124" s="22"/>
      <c r="AD124" s="22"/>
      <c r="AE124" s="22"/>
      <c r="AF124" s="22"/>
      <c r="AG124" s="22"/>
      <c r="AH124" s="22"/>
    </row>
    <row r="125" spans="2:34">
      <c r="O125" s="22"/>
      <c r="P125" s="235"/>
      <c r="Q125" s="235"/>
      <c r="R125" s="235"/>
      <c r="S125" s="235"/>
      <c r="T125" s="235"/>
      <c r="U125" s="43"/>
      <c r="V125" s="43"/>
    </row>
    <row r="126" spans="2:34">
      <c r="O126" s="22"/>
      <c r="P126" s="235"/>
      <c r="Q126" s="235"/>
      <c r="R126" s="235"/>
      <c r="S126" s="235"/>
      <c r="T126" s="235"/>
      <c r="U126" s="43"/>
      <c r="V126" s="43"/>
    </row>
    <row r="127" spans="2:34">
      <c r="O127" s="22"/>
      <c r="P127" s="182"/>
      <c r="Q127" s="235"/>
      <c r="R127" s="182"/>
      <c r="S127" s="235"/>
      <c r="T127" s="182"/>
      <c r="U127" s="43"/>
      <c r="V127" s="43"/>
    </row>
    <row r="128" spans="2:34">
      <c r="O128" s="22"/>
      <c r="P128" s="182"/>
      <c r="Q128" s="235"/>
      <c r="R128" s="182"/>
      <c r="S128" s="235"/>
      <c r="T128" s="182"/>
      <c r="U128" s="43"/>
      <c r="V128" s="43"/>
    </row>
    <row r="129" spans="15:26">
      <c r="O129" s="12"/>
      <c r="P129" s="182"/>
      <c r="Q129" s="182"/>
      <c r="R129" s="182"/>
      <c r="S129" s="235"/>
      <c r="T129" s="182"/>
      <c r="U129" s="43"/>
      <c r="V129" s="43"/>
    </row>
    <row r="130" spans="15:26">
      <c r="P130" s="42"/>
      <c r="Q130" s="43"/>
      <c r="R130" s="42"/>
      <c r="S130" s="43"/>
      <c r="T130" s="42"/>
      <c r="U130" s="43"/>
      <c r="V130" s="43"/>
    </row>
    <row r="131" spans="15:26">
      <c r="P131" s="43"/>
      <c r="Q131" s="43"/>
      <c r="R131" s="43"/>
      <c r="S131" s="43"/>
      <c r="T131" s="43"/>
      <c r="U131" s="43"/>
      <c r="V131" s="43"/>
    </row>
    <row r="132" spans="15:26"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5:26"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5:26"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5:26"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5:26"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5:26"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5:26"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5:26"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5:26"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5:26"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5:26"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5:26"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5:26"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5:26"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</sheetData>
  <mergeCells count="10">
    <mergeCell ref="B77:K77"/>
    <mergeCell ref="B78:K78"/>
    <mergeCell ref="Q37:T37"/>
    <mergeCell ref="Q38:T38"/>
    <mergeCell ref="A1:K1"/>
    <mergeCell ref="A3:K3"/>
    <mergeCell ref="O28:Z28"/>
    <mergeCell ref="O30:Z30"/>
    <mergeCell ref="O1:W1"/>
    <mergeCell ref="O3:W3"/>
  </mergeCells>
  <phoneticPr fontId="10" type="noConversion"/>
  <printOptions horizontalCentered="1"/>
  <pageMargins left="0.8" right="0.4" top="1" bottom="0.2" header="0" footer="0"/>
  <pageSetup scale="95" orientation="portrait" r:id="rId1"/>
  <headerFooter alignWithMargins="0"/>
  <rowBreaks count="1" manualBreakCount="1">
    <brk id="27" min="14" max="2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C144"/>
  <sheetViews>
    <sheetView zoomScale="90" zoomScaleNormal="90" workbookViewId="0">
      <selection activeCell="A2" sqref="A2"/>
    </sheetView>
  </sheetViews>
  <sheetFormatPr defaultColWidth="9.6640625" defaultRowHeight="15"/>
  <cols>
    <col min="1" max="1" width="14.21875" style="1" customWidth="1"/>
    <col min="2" max="2" width="1.6640625" style="1" customWidth="1"/>
    <col min="3" max="3" width="11.44140625" style="1" customWidth="1"/>
    <col min="4" max="4" width="1.21875" style="1" customWidth="1"/>
    <col min="5" max="5" width="13" style="1" customWidth="1"/>
    <col min="6" max="6" width="1.33203125" style="1" customWidth="1"/>
    <col min="7" max="7" width="12.6640625" style="283" customWidth="1"/>
    <col min="8" max="8" width="1.5546875" style="1" customWidth="1"/>
    <col min="9" max="9" width="11.33203125" style="1" customWidth="1"/>
    <col min="10" max="10" width="1.5546875" style="43" customWidth="1"/>
    <col min="11" max="11" width="9.77734375" style="43" customWidth="1"/>
    <col min="12" max="12" width="2.109375" style="43" customWidth="1"/>
    <col min="13" max="13" width="10.77734375" style="43" bestFit="1" customWidth="1"/>
    <col min="14" max="14" width="13.109375" style="43" customWidth="1"/>
    <col min="15" max="15" width="2" style="1" customWidth="1"/>
    <col min="16" max="16" width="12.6640625" style="1" customWidth="1"/>
    <col min="17" max="17" width="2.6640625" style="1" customWidth="1"/>
    <col min="18" max="18" width="12.109375" style="1" customWidth="1"/>
    <col min="19" max="19" width="2.6640625" style="1" customWidth="1"/>
    <col min="20" max="20" width="10.44140625" style="1" customWidth="1"/>
    <col min="21" max="21" width="9.6640625" style="1"/>
    <col min="22" max="22" width="11.6640625" style="1" customWidth="1"/>
    <col min="23" max="23" width="1.5546875" style="1" customWidth="1"/>
    <col min="24" max="27" width="9.6640625" style="1"/>
    <col min="28" max="28" width="11.21875" style="1" bestFit="1" customWidth="1"/>
    <col min="29" max="16384" width="9.6640625" style="1"/>
  </cols>
  <sheetData>
    <row r="1" spans="1:14">
      <c r="A1" s="831" t="s">
        <v>635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</row>
    <row r="2" spans="1:14">
      <c r="A2" s="3"/>
      <c r="B2" s="3"/>
      <c r="C2" s="3"/>
      <c r="D2" s="3"/>
      <c r="E2" s="3"/>
      <c r="F2" s="3"/>
      <c r="G2" s="284"/>
      <c r="H2" s="3"/>
      <c r="I2" s="3"/>
      <c r="J2" s="317"/>
      <c r="K2" s="318"/>
    </row>
    <row r="3" spans="1:14">
      <c r="A3" s="829" t="s">
        <v>170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</row>
    <row r="4" spans="1:14" ht="8.4499999999999993" customHeight="1">
      <c r="A4" s="401"/>
      <c r="B4" s="401"/>
      <c r="C4" s="401"/>
      <c r="D4" s="401"/>
      <c r="E4" s="401"/>
      <c r="F4" s="401"/>
      <c r="G4" s="427"/>
      <c r="H4" s="401"/>
      <c r="I4" s="401"/>
      <c r="J4" s="319"/>
    </row>
    <row r="5" spans="1:14">
      <c r="A5" s="401"/>
      <c r="B5" s="401"/>
      <c r="C5" s="401"/>
      <c r="D5" s="401"/>
      <c r="E5" s="401"/>
      <c r="F5" s="401"/>
      <c r="G5" s="427"/>
      <c r="H5" s="401"/>
      <c r="I5" s="401"/>
      <c r="J5" s="319"/>
    </row>
    <row r="6" spans="1:14">
      <c r="A6" s="401" t="s">
        <v>703</v>
      </c>
      <c r="B6" s="401"/>
      <c r="C6" s="401"/>
      <c r="D6" s="401"/>
      <c r="E6" s="401"/>
      <c r="F6" s="401"/>
      <c r="G6" s="427"/>
      <c r="H6" s="401"/>
      <c r="I6" s="401"/>
      <c r="J6" s="319"/>
    </row>
    <row r="7" spans="1:14" ht="8.4499999999999993" customHeight="1">
      <c r="A7" s="401"/>
      <c r="B7" s="401"/>
      <c r="C7" s="401"/>
      <c r="D7" s="401"/>
      <c r="E7" s="401"/>
      <c r="F7" s="401"/>
      <c r="G7" s="427"/>
      <c r="H7" s="401"/>
      <c r="I7" s="401"/>
      <c r="J7" s="319"/>
    </row>
    <row r="8" spans="1:14">
      <c r="A8" s="401" t="s">
        <v>311</v>
      </c>
      <c r="B8" s="401"/>
      <c r="C8" s="401"/>
      <c r="D8" s="401"/>
      <c r="E8" s="401"/>
      <c r="F8" s="401"/>
      <c r="G8" s="427"/>
      <c r="H8" s="401"/>
      <c r="I8" s="401"/>
      <c r="J8" s="319"/>
    </row>
    <row r="9" spans="1:14" ht="9" customHeight="1">
      <c r="A9" s="401"/>
      <c r="B9" s="401"/>
      <c r="C9" s="401"/>
      <c r="D9" s="401"/>
      <c r="E9" s="401"/>
      <c r="F9" s="401"/>
      <c r="G9" s="427"/>
      <c r="H9" s="401"/>
      <c r="I9" s="401"/>
      <c r="J9" s="319"/>
    </row>
    <row r="10" spans="1:14">
      <c r="A10" s="401"/>
      <c r="B10" s="401"/>
      <c r="C10" s="404" t="s">
        <v>182</v>
      </c>
      <c r="D10" s="401"/>
      <c r="E10" s="401"/>
      <c r="F10" s="401"/>
      <c r="G10" s="427"/>
      <c r="H10" s="401"/>
      <c r="I10" s="401"/>
      <c r="J10" s="319"/>
    </row>
    <row r="11" spans="1:14">
      <c r="A11" s="401"/>
      <c r="B11" s="401"/>
      <c r="C11" s="404" t="s">
        <v>200</v>
      </c>
      <c r="D11" s="401"/>
      <c r="E11" s="401"/>
      <c r="F11" s="401"/>
      <c r="G11" s="428"/>
      <c r="H11" s="401"/>
      <c r="I11" s="401"/>
      <c r="J11" s="319"/>
    </row>
    <row r="12" spans="1:14">
      <c r="A12" s="401"/>
      <c r="B12" s="401"/>
      <c r="C12" s="404" t="s">
        <v>197</v>
      </c>
      <c r="D12" s="401"/>
      <c r="E12" s="408" t="s">
        <v>429</v>
      </c>
      <c r="F12" s="407"/>
      <c r="G12" s="428" t="s">
        <v>393</v>
      </c>
      <c r="H12" s="408"/>
      <c r="I12" s="408"/>
      <c r="J12" s="288"/>
      <c r="K12" s="261"/>
    </row>
    <row r="13" spans="1:14">
      <c r="A13" s="400" t="s">
        <v>171</v>
      </c>
      <c r="B13" s="401"/>
      <c r="C13" s="404" t="s">
        <v>183</v>
      </c>
      <c r="D13" s="401"/>
      <c r="E13" s="408" t="s">
        <v>394</v>
      </c>
      <c r="F13" s="412"/>
      <c r="G13" s="429" t="s">
        <v>394</v>
      </c>
      <c r="H13" s="412"/>
      <c r="I13" s="408" t="s">
        <v>180</v>
      </c>
      <c r="J13" s="319"/>
      <c r="K13" s="408" t="s">
        <v>180</v>
      </c>
    </row>
    <row r="14" spans="1:14">
      <c r="A14" s="443" t="s">
        <v>172</v>
      </c>
      <c r="B14" s="401"/>
      <c r="C14" s="635" t="s">
        <v>184</v>
      </c>
      <c r="D14" s="401"/>
      <c r="E14" s="635" t="s">
        <v>184</v>
      </c>
      <c r="F14" s="401"/>
      <c r="G14" s="635" t="s">
        <v>184</v>
      </c>
      <c r="H14" s="401"/>
      <c r="I14" s="635" t="s">
        <v>281</v>
      </c>
      <c r="J14" s="319"/>
      <c r="K14" s="635" t="s">
        <v>309</v>
      </c>
      <c r="N14" s="395"/>
    </row>
    <row r="15" spans="1:14">
      <c r="A15" s="407" t="s">
        <v>173</v>
      </c>
      <c r="B15" s="401"/>
      <c r="C15" s="408" t="s">
        <v>181</v>
      </c>
      <c r="D15" s="401"/>
      <c r="E15" s="408" t="s">
        <v>195</v>
      </c>
      <c r="F15" s="401"/>
      <c r="G15" s="429" t="s">
        <v>359</v>
      </c>
      <c r="H15" s="401"/>
      <c r="I15" s="408" t="s">
        <v>202</v>
      </c>
      <c r="J15" s="319"/>
      <c r="K15" s="408" t="s">
        <v>202</v>
      </c>
      <c r="N15" s="10"/>
    </row>
    <row r="16" spans="1:14" ht="19.149999999999999" customHeight="1">
      <c r="A16" s="409" t="s">
        <v>254</v>
      </c>
      <c r="B16" s="401"/>
      <c r="C16" s="401"/>
      <c r="D16" s="401"/>
      <c r="E16" s="430"/>
      <c r="F16" s="401"/>
      <c r="G16" s="427"/>
      <c r="H16" s="401"/>
      <c r="I16" s="401"/>
      <c r="J16" s="319"/>
      <c r="K16" s="193"/>
      <c r="N16" s="5"/>
    </row>
    <row r="17" spans="1:14">
      <c r="A17" s="401" t="s">
        <v>322</v>
      </c>
      <c r="B17" s="401"/>
      <c r="C17" s="427">
        <f>'Ft  1to4'!R19</f>
        <v>44134</v>
      </c>
      <c r="D17" s="427"/>
      <c r="E17" s="431">
        <f>+'Ft  1to4'!O86</f>
        <v>198310</v>
      </c>
      <c r="F17" s="427"/>
      <c r="G17" s="436">
        <f>+E17-C17</f>
        <v>154176</v>
      </c>
      <c r="H17" s="401"/>
      <c r="I17" s="463">
        <f>ROUND(+G17/$G$24,4)-0.0001</f>
        <v>0.39890000000000003</v>
      </c>
      <c r="J17" s="319"/>
      <c r="K17" s="463">
        <f>ROUND(+G17/$G$21,4)</f>
        <v>0.60260000000000002</v>
      </c>
      <c r="N17" s="183"/>
    </row>
    <row r="18" spans="1:14">
      <c r="A18" s="401" t="s">
        <v>318</v>
      </c>
      <c r="B18" s="401"/>
      <c r="C18" s="427">
        <f>'Ft  1to4'!R20</f>
        <v>18037</v>
      </c>
      <c r="D18" s="427"/>
      <c r="E18" s="431">
        <f>+'Ft  1to4'!O87</f>
        <v>82486</v>
      </c>
      <c r="F18" s="427"/>
      <c r="G18" s="436">
        <f t="shared" ref="G18:G22" si="0">+E18-C18</f>
        <v>64449</v>
      </c>
      <c r="H18" s="401"/>
      <c r="I18" s="463">
        <f t="shared" ref="I18:I22" si="1">ROUND(+G18/$G$24,4)</f>
        <v>0.1668</v>
      </c>
      <c r="J18" s="319"/>
      <c r="K18" s="463">
        <f t="shared" ref="K18:K20" si="2">ROUND(+G18/$G$21,4)</f>
        <v>0.25190000000000001</v>
      </c>
      <c r="N18" s="183"/>
    </row>
    <row r="19" spans="1:14">
      <c r="A19" s="401" t="s">
        <v>319</v>
      </c>
      <c r="B19" s="401"/>
      <c r="C19" s="427">
        <f>'Ft  1to4'!R21</f>
        <v>10837</v>
      </c>
      <c r="D19" s="427"/>
      <c r="E19" s="431">
        <f>+'Ft  1to4'!O88</f>
        <v>36157</v>
      </c>
      <c r="F19" s="427"/>
      <c r="G19" s="436">
        <f t="shared" si="0"/>
        <v>25320</v>
      </c>
      <c r="H19" s="401"/>
      <c r="I19" s="463">
        <f t="shared" si="1"/>
        <v>6.5500000000000003E-2</v>
      </c>
      <c r="J19" s="319"/>
      <c r="K19" s="463">
        <f t="shared" si="2"/>
        <v>9.9000000000000005E-2</v>
      </c>
      <c r="N19" s="183"/>
    </row>
    <row r="20" spans="1:14">
      <c r="A20" s="401" t="s">
        <v>320</v>
      </c>
      <c r="B20" s="401"/>
      <c r="C20" s="438">
        <f>'Ft  1to4'!R22</f>
        <v>14858</v>
      </c>
      <c r="D20" s="427"/>
      <c r="E20" s="433">
        <f>+'Ft  1to4'!O89</f>
        <v>26746</v>
      </c>
      <c r="F20" s="432"/>
      <c r="G20" s="438">
        <f t="shared" si="0"/>
        <v>11888</v>
      </c>
      <c r="H20" s="401"/>
      <c r="I20" s="636">
        <f t="shared" si="1"/>
        <v>3.0800000000000001E-2</v>
      </c>
      <c r="J20" s="319"/>
      <c r="K20" s="636">
        <f t="shared" si="2"/>
        <v>4.65E-2</v>
      </c>
      <c r="N20" s="183"/>
    </row>
    <row r="21" spans="1:14">
      <c r="A21" s="401" t="s">
        <v>598</v>
      </c>
      <c r="B21" s="401"/>
      <c r="C21" s="427">
        <f>SUM(C17:C20)</f>
        <v>87866</v>
      </c>
      <c r="D21" s="427"/>
      <c r="E21" s="431">
        <f>SUM(E17:E20)</f>
        <v>343699</v>
      </c>
      <c r="F21" s="432"/>
      <c r="G21" s="436">
        <f>SUM(G17:G20)</f>
        <v>255833</v>
      </c>
      <c r="H21" s="401"/>
      <c r="I21" s="463">
        <f>SUM(I17:I20)</f>
        <v>0.66200000000000014</v>
      </c>
      <c r="J21" s="319"/>
      <c r="K21" s="463">
        <f>SUM(K17:K20)</f>
        <v>1</v>
      </c>
      <c r="N21" s="183"/>
    </row>
    <row r="22" spans="1:14" ht="19.899999999999999" customHeight="1">
      <c r="A22" s="401" t="s">
        <v>468</v>
      </c>
      <c r="B22" s="401"/>
      <c r="C22" s="427">
        <f>'Ft  1to4'!R23</f>
        <v>364093</v>
      </c>
      <c r="D22" s="427"/>
      <c r="E22" s="433">
        <f>+'Ft  1to4'!O90</f>
        <v>494708</v>
      </c>
      <c r="F22" s="427"/>
      <c r="G22" s="438">
        <f t="shared" si="0"/>
        <v>130615</v>
      </c>
      <c r="H22" s="401"/>
      <c r="I22" s="636">
        <f t="shared" si="1"/>
        <v>0.33800000000000002</v>
      </c>
      <c r="J22" s="319"/>
      <c r="K22" s="224">
        <v>0</v>
      </c>
      <c r="N22" s="183"/>
    </row>
    <row r="23" spans="1:14" ht="10.15" customHeight="1">
      <c r="A23" s="401"/>
      <c r="B23" s="401"/>
      <c r="C23" s="434"/>
      <c r="D23" s="427"/>
      <c r="E23" s="435"/>
      <c r="F23" s="427"/>
      <c r="G23" s="436"/>
      <c r="H23" s="401"/>
      <c r="I23" s="464"/>
      <c r="J23" s="319"/>
      <c r="K23" s="183"/>
      <c r="N23" s="384"/>
    </row>
    <row r="24" spans="1:14" ht="14.1" customHeight="1" thickBot="1">
      <c r="A24" s="401" t="s">
        <v>176</v>
      </c>
      <c r="B24" s="401"/>
      <c r="C24" s="427">
        <f>+C22+C21</f>
        <v>451959</v>
      </c>
      <c r="D24" s="427"/>
      <c r="E24" s="427">
        <f>+E22+E21</f>
        <v>838407</v>
      </c>
      <c r="F24" s="427"/>
      <c r="G24" s="427">
        <f>+G22+G21</f>
        <v>386448</v>
      </c>
      <c r="H24" s="401"/>
      <c r="I24" s="465">
        <f>+I22+I21</f>
        <v>1.0000000000000002</v>
      </c>
      <c r="K24" s="465">
        <f>+K22+K21</f>
        <v>1</v>
      </c>
      <c r="N24" s="13"/>
    </row>
    <row r="25" spans="1:14" ht="15.75" thickTop="1">
      <c r="A25" s="401"/>
      <c r="B25" s="401"/>
      <c r="C25" s="420"/>
      <c r="D25" s="401"/>
      <c r="E25" s="420"/>
      <c r="F25" s="401"/>
      <c r="G25" s="420"/>
      <c r="H25" s="401"/>
      <c r="I25" s="420"/>
      <c r="J25" s="319"/>
      <c r="K25" s="437"/>
    </row>
    <row r="26" spans="1:14">
      <c r="A26" s="412"/>
      <c r="B26" s="401"/>
      <c r="C26" s="401"/>
      <c r="D26" s="401"/>
      <c r="E26" s="401"/>
      <c r="F26" s="401"/>
      <c r="G26" s="427"/>
      <c r="H26" s="401"/>
      <c r="I26" s="401"/>
      <c r="J26" s="319"/>
    </row>
    <row r="27" spans="1:14">
      <c r="A27" s="401" t="s">
        <v>596</v>
      </c>
      <c r="B27" s="401"/>
      <c r="C27" s="401"/>
      <c r="D27" s="401"/>
      <c r="E27" s="401"/>
      <c r="F27" s="401"/>
      <c r="G27" s="427"/>
      <c r="H27" s="401"/>
      <c r="I27" s="401"/>
      <c r="J27" s="319"/>
    </row>
    <row r="28" spans="1:14">
      <c r="A28" s="401" t="s">
        <v>451</v>
      </c>
      <c r="B28" s="401"/>
      <c r="C28" s="401"/>
      <c r="D28" s="401"/>
      <c r="E28" s="401"/>
      <c r="F28" s="401"/>
      <c r="G28" s="427"/>
      <c r="H28" s="401"/>
      <c r="I28" s="401"/>
      <c r="J28" s="319"/>
    </row>
    <row r="29" spans="1:14" ht="7.9" customHeight="1">
      <c r="A29" s="402"/>
      <c r="B29" s="401"/>
      <c r="C29" s="401"/>
      <c r="D29" s="401"/>
      <c r="E29" s="401"/>
      <c r="F29" s="401"/>
      <c r="G29" s="427"/>
      <c r="H29" s="401"/>
      <c r="I29" s="401"/>
      <c r="J29" s="319"/>
    </row>
    <row r="30" spans="1:14">
      <c r="A30" s="401" t="s">
        <v>452</v>
      </c>
      <c r="B30" s="401"/>
      <c r="C30" s="401"/>
      <c r="D30" s="401"/>
      <c r="E30" s="401"/>
      <c r="F30" s="401"/>
      <c r="G30" s="427"/>
      <c r="H30" s="401"/>
      <c r="I30" s="401"/>
      <c r="J30" s="319"/>
    </row>
    <row r="31" spans="1:14">
      <c r="A31" s="401" t="s">
        <v>453</v>
      </c>
      <c r="B31" s="401"/>
      <c r="C31" s="401"/>
      <c r="D31" s="401"/>
      <c r="E31" s="401"/>
      <c r="F31" s="401"/>
      <c r="G31" s="427"/>
      <c r="H31" s="401"/>
      <c r="I31" s="401"/>
      <c r="J31" s="319"/>
    </row>
    <row r="32" spans="1:14" ht="21.6" customHeight="1">
      <c r="A32" s="401"/>
      <c r="B32" s="401"/>
      <c r="D32" s="401"/>
      <c r="E32" s="404" t="s">
        <v>182</v>
      </c>
      <c r="F32" s="401"/>
      <c r="G32" s="427"/>
      <c r="H32" s="401"/>
      <c r="I32" s="401"/>
      <c r="J32" s="319"/>
    </row>
    <row r="33" spans="1:11">
      <c r="A33" s="401"/>
      <c r="B33" s="401"/>
      <c r="D33" s="401"/>
      <c r="E33" s="404" t="s">
        <v>200</v>
      </c>
      <c r="F33" s="401"/>
      <c r="G33" s="428"/>
      <c r="H33" s="401"/>
      <c r="I33" s="401"/>
      <c r="J33" s="319"/>
    </row>
    <row r="34" spans="1:11">
      <c r="A34" s="401"/>
      <c r="B34" s="401"/>
      <c r="D34" s="401"/>
      <c r="E34" s="404" t="s">
        <v>197</v>
      </c>
      <c r="G34" s="408" t="s">
        <v>429</v>
      </c>
      <c r="H34" s="407"/>
      <c r="I34" s="428" t="s">
        <v>393</v>
      </c>
      <c r="J34" s="408"/>
      <c r="K34" s="408"/>
    </row>
    <row r="35" spans="1:11">
      <c r="A35" s="400" t="s">
        <v>171</v>
      </c>
      <c r="B35" s="401"/>
      <c r="D35" s="401"/>
      <c r="E35" s="404" t="s">
        <v>183</v>
      </c>
      <c r="G35" s="408" t="s">
        <v>394</v>
      </c>
      <c r="H35" s="412"/>
      <c r="I35" s="429" t="s">
        <v>394</v>
      </c>
      <c r="J35" s="412"/>
      <c r="K35" s="408" t="s">
        <v>180</v>
      </c>
    </row>
    <row r="36" spans="1:11">
      <c r="A36" s="443" t="s">
        <v>172</v>
      </c>
      <c r="B36" s="401"/>
      <c r="D36" s="401"/>
      <c r="E36" s="635" t="s">
        <v>184</v>
      </c>
      <c r="G36" s="635" t="s">
        <v>184</v>
      </c>
      <c r="H36" s="401"/>
      <c r="I36" s="635" t="s">
        <v>184</v>
      </c>
      <c r="J36" s="401"/>
      <c r="K36" s="635" t="s">
        <v>597</v>
      </c>
    </row>
    <row r="37" spans="1:11">
      <c r="A37" s="407" t="s">
        <v>173</v>
      </c>
      <c r="B37" s="401"/>
      <c r="D37" s="401"/>
      <c r="E37" s="408" t="s">
        <v>181</v>
      </c>
      <c r="G37" s="408" t="s">
        <v>195</v>
      </c>
      <c r="H37" s="401"/>
      <c r="I37" s="429" t="s">
        <v>359</v>
      </c>
      <c r="J37" s="401"/>
      <c r="K37" s="408" t="s">
        <v>202</v>
      </c>
    </row>
    <row r="38" spans="1:11" ht="21" customHeight="1">
      <c r="A38" s="409" t="s">
        <v>254</v>
      </c>
      <c r="B38" s="401"/>
      <c r="D38" s="401"/>
      <c r="E38" s="401"/>
      <c r="G38" s="430"/>
      <c r="H38" s="401"/>
      <c r="I38" s="427"/>
      <c r="J38" s="401"/>
      <c r="K38" s="401"/>
    </row>
    <row r="39" spans="1:11">
      <c r="A39" s="401" t="s">
        <v>322</v>
      </c>
      <c r="B39" s="401"/>
      <c r="D39" s="427"/>
      <c r="E39" s="427">
        <f>+C17</f>
        <v>44134</v>
      </c>
      <c r="G39" s="427">
        <f>+E17</f>
        <v>198310</v>
      </c>
      <c r="H39" s="401"/>
      <c r="I39" s="436">
        <f>+G39-E39</f>
        <v>154176</v>
      </c>
      <c r="J39" s="401"/>
      <c r="K39" s="463">
        <f>ROUND(+I39/$I$44,4)</f>
        <v>0.60260000000000002</v>
      </c>
    </row>
    <row r="40" spans="1:11">
      <c r="A40" s="401" t="s">
        <v>318</v>
      </c>
      <c r="B40" s="401"/>
      <c r="D40" s="427"/>
      <c r="E40" s="427">
        <f>+C18</f>
        <v>18037</v>
      </c>
      <c r="G40" s="427">
        <f>+E18</f>
        <v>82486</v>
      </c>
      <c r="H40" s="401"/>
      <c r="I40" s="436">
        <f>+G40-E40</f>
        <v>64449</v>
      </c>
      <c r="J40" s="401"/>
      <c r="K40" s="463">
        <f t="shared" ref="K40:K42" si="3">ROUND(+I40/$I$44,4)</f>
        <v>0.25190000000000001</v>
      </c>
    </row>
    <row r="41" spans="1:11">
      <c r="A41" s="401" t="s">
        <v>319</v>
      </c>
      <c r="B41" s="401"/>
      <c r="D41" s="427"/>
      <c r="E41" s="427">
        <f>+C19</f>
        <v>10837</v>
      </c>
      <c r="G41" s="427">
        <f>+E19</f>
        <v>36157</v>
      </c>
      <c r="H41" s="401"/>
      <c r="I41" s="436">
        <f>+G41-E41</f>
        <v>25320</v>
      </c>
      <c r="J41" s="401"/>
      <c r="K41" s="463">
        <f t="shared" si="3"/>
        <v>9.9000000000000005E-2</v>
      </c>
    </row>
    <row r="42" spans="1:11">
      <c r="A42" s="401" t="s">
        <v>320</v>
      </c>
      <c r="B42" s="401"/>
      <c r="D42" s="427"/>
      <c r="E42" s="578">
        <f>ROUND(+C20,0)</f>
        <v>14858</v>
      </c>
      <c r="G42" s="438">
        <f>+E20</f>
        <v>26746</v>
      </c>
      <c r="H42" s="430"/>
      <c r="I42" s="438">
        <f>+G42-E42</f>
        <v>11888</v>
      </c>
      <c r="J42" s="401"/>
      <c r="K42" s="463">
        <f t="shared" si="3"/>
        <v>4.65E-2</v>
      </c>
    </row>
    <row r="43" spans="1:11" ht="12.6" customHeight="1">
      <c r="A43" s="401"/>
      <c r="B43" s="401"/>
      <c r="D43" s="427"/>
      <c r="E43" s="434"/>
      <c r="G43" s="435"/>
      <c r="H43" s="401"/>
      <c r="I43" s="436"/>
      <c r="J43" s="401"/>
      <c r="K43" s="464"/>
    </row>
    <row r="44" spans="1:11" ht="14.1" customHeight="1" thickBot="1">
      <c r="A44" s="401" t="s">
        <v>176</v>
      </c>
      <c r="B44" s="401"/>
      <c r="D44" s="427"/>
      <c r="E44" s="427">
        <f>SUM(E39:E42)</f>
        <v>87866</v>
      </c>
      <c r="G44" s="456">
        <f>SUM(G39:G42)</f>
        <v>343699</v>
      </c>
      <c r="H44" s="401"/>
      <c r="I44" s="427">
        <f>SUM(I39:I42)</f>
        <v>255833</v>
      </c>
      <c r="J44" s="401"/>
      <c r="K44" s="465">
        <f>SUM(K39:K42)</f>
        <v>1</v>
      </c>
    </row>
    <row r="45" spans="1:11" ht="15.75" thickTop="1">
      <c r="A45" s="401"/>
      <c r="B45" s="401"/>
      <c r="D45" s="401"/>
      <c r="E45" s="420"/>
      <c r="G45" s="412"/>
      <c r="H45" s="401"/>
      <c r="I45" s="437"/>
      <c r="J45" s="401"/>
      <c r="K45" s="420"/>
    </row>
    <row r="46" spans="1:11">
      <c r="A46" s="834" t="s">
        <v>635</v>
      </c>
      <c r="B46" s="834"/>
      <c r="C46" s="834"/>
      <c r="D46" s="834"/>
      <c r="E46" s="834"/>
      <c r="F46" s="834"/>
      <c r="G46" s="834"/>
      <c r="H46" s="834"/>
      <c r="I46" s="834"/>
      <c r="J46" s="834"/>
    </row>
    <row r="47" spans="1:11">
      <c r="A47" s="400"/>
      <c r="B47" s="400"/>
      <c r="C47" s="400"/>
      <c r="D47" s="400"/>
      <c r="E47" s="400"/>
      <c r="F47" s="400"/>
      <c r="G47" s="439"/>
      <c r="H47" s="400"/>
      <c r="I47" s="400"/>
      <c r="J47" s="319"/>
    </row>
    <row r="48" spans="1:11">
      <c r="A48" s="829" t="s">
        <v>170</v>
      </c>
      <c r="B48" s="829"/>
      <c r="C48" s="829"/>
      <c r="D48" s="829"/>
      <c r="E48" s="829"/>
      <c r="F48" s="829"/>
      <c r="G48" s="829"/>
      <c r="H48" s="829"/>
      <c r="I48" s="829"/>
      <c r="J48" s="829"/>
    </row>
    <row r="49" spans="1:29">
      <c r="A49" s="401"/>
      <c r="B49" s="401"/>
      <c r="C49" s="401"/>
      <c r="D49" s="401"/>
      <c r="E49" s="401"/>
      <c r="F49" s="401"/>
      <c r="G49" s="427"/>
      <c r="H49" s="401"/>
      <c r="I49" s="401"/>
    </row>
    <row r="50" spans="1:29" ht="7.9" customHeight="1">
      <c r="A50" s="401"/>
      <c r="B50" s="401"/>
      <c r="C50" s="401"/>
      <c r="D50" s="401"/>
      <c r="E50" s="401"/>
      <c r="F50" s="401"/>
      <c r="G50" s="427"/>
      <c r="H50" s="401"/>
      <c r="I50" s="401"/>
      <c r="J50" s="193"/>
    </row>
    <row r="51" spans="1:29">
      <c r="A51" s="440" t="s">
        <v>430</v>
      </c>
      <c r="B51" s="403"/>
      <c r="C51" s="403"/>
      <c r="D51" s="403"/>
      <c r="E51" s="403"/>
      <c r="F51" s="403"/>
      <c r="G51" s="441"/>
      <c r="H51" s="403"/>
      <c r="I51" s="403"/>
      <c r="J51" s="193"/>
    </row>
    <row r="52" spans="1:29">
      <c r="A52" s="402"/>
      <c r="B52" s="403"/>
      <c r="C52" s="403"/>
      <c r="D52" s="403"/>
      <c r="E52" s="403"/>
      <c r="F52" s="403"/>
      <c r="G52" s="441"/>
      <c r="H52" s="403"/>
      <c r="I52" s="403"/>
    </row>
    <row r="53" spans="1:29" ht="22.15" customHeight="1">
      <c r="A53" s="832" t="s">
        <v>606</v>
      </c>
      <c r="B53" s="833"/>
      <c r="C53" s="833"/>
      <c r="D53" s="833"/>
      <c r="E53" s="833"/>
      <c r="F53" s="833"/>
      <c r="G53" s="833"/>
      <c r="H53" s="833"/>
      <c r="I53" s="833"/>
      <c r="J53" s="320"/>
    </row>
    <row r="54" spans="1:29">
      <c r="A54" s="401"/>
      <c r="B54" s="401"/>
      <c r="C54" s="401"/>
      <c r="D54" s="401"/>
      <c r="E54" s="701"/>
      <c r="F54" s="401"/>
      <c r="G54" s="427"/>
      <c r="H54" s="401"/>
      <c r="I54" s="707"/>
    </row>
    <row r="55" spans="1:29" ht="6.6" customHeight="1">
      <c r="A55" s="401"/>
      <c r="B55" s="401"/>
      <c r="C55" s="401"/>
      <c r="D55" s="401"/>
      <c r="E55" s="401"/>
      <c r="F55" s="401"/>
      <c r="G55" s="427"/>
      <c r="H55" s="401"/>
      <c r="I55" s="401"/>
    </row>
    <row r="56" spans="1:29">
      <c r="A56" s="400" t="s">
        <v>171</v>
      </c>
      <c r="B56" s="401"/>
      <c r="D56" s="587"/>
      <c r="E56" s="428" t="s">
        <v>216</v>
      </c>
      <c r="F56" s="442"/>
      <c r="H56" s="404"/>
      <c r="I56" s="408" t="s">
        <v>180</v>
      </c>
      <c r="T56" s="428" t="s">
        <v>203</v>
      </c>
    </row>
    <row r="57" spans="1:29">
      <c r="A57" s="443" t="s">
        <v>172</v>
      </c>
      <c r="B57" s="401"/>
      <c r="D57" s="587"/>
      <c r="E57" s="445" t="s">
        <v>204</v>
      </c>
      <c r="F57" s="442"/>
      <c r="H57" s="404"/>
      <c r="I57" s="416" t="s">
        <v>186</v>
      </c>
      <c r="T57" s="445" t="s">
        <v>204</v>
      </c>
      <c r="V57" s="701"/>
      <c r="W57" s="279"/>
      <c r="X57" s="707"/>
    </row>
    <row r="58" spans="1:29">
      <c r="A58" s="417">
        <v>-1</v>
      </c>
      <c r="B58" s="401"/>
      <c r="D58" s="442"/>
      <c r="E58" s="283"/>
      <c r="F58" s="442"/>
      <c r="H58" s="442"/>
      <c r="I58" s="417">
        <f>+T58-1</f>
        <v>-3</v>
      </c>
      <c r="L58" s="576"/>
      <c r="M58" s="574"/>
      <c r="T58" s="447">
        <f>+A58-1</f>
        <v>-2</v>
      </c>
      <c r="V58" s="574"/>
      <c r="W58" s="279"/>
      <c r="X58" s="576"/>
    </row>
    <row r="59" spans="1:29">
      <c r="A59" s="401"/>
      <c r="B59" s="448"/>
      <c r="D59" s="401"/>
      <c r="E59" s="283"/>
      <c r="F59" s="401"/>
      <c r="H59" s="401"/>
      <c r="I59" s="401"/>
      <c r="L59" s="576"/>
      <c r="M59" s="701" t="s">
        <v>179</v>
      </c>
      <c r="P59" s="734" t="s">
        <v>179</v>
      </c>
      <c r="T59" s="283"/>
      <c r="V59" s="574"/>
      <c r="W59" s="279"/>
      <c r="X59" s="576"/>
    </row>
    <row r="60" spans="1:29">
      <c r="A60" s="409" t="s">
        <v>255</v>
      </c>
      <c r="B60" s="448"/>
      <c r="D60" s="401"/>
      <c r="E60" s="283"/>
      <c r="F60" s="401"/>
      <c r="H60" s="401"/>
      <c r="I60" s="411"/>
      <c r="L60" s="576"/>
      <c r="M60" s="742" t="s">
        <v>693</v>
      </c>
      <c r="P60" s="736" t="s">
        <v>690</v>
      </c>
      <c r="T60" s="283"/>
      <c r="V60" s="574"/>
      <c r="W60" s="279"/>
      <c r="X60" s="576"/>
    </row>
    <row r="61" spans="1:29">
      <c r="A61" s="401" t="s">
        <v>322</v>
      </c>
      <c r="B61" s="448"/>
      <c r="D61" s="401"/>
      <c r="E61" s="725">
        <v>20138243.664643746</v>
      </c>
      <c r="F61" s="401"/>
      <c r="H61" s="401"/>
      <c r="I61" s="463">
        <f t="shared" ref="I61:I66" si="4">ROUND(+E61/$E$68,4)</f>
        <v>0.42059999999999997</v>
      </c>
      <c r="L61" s="576"/>
      <c r="M61" s="740">
        <f t="shared" ref="M61:M66" si="5">+E61/T61</f>
        <v>132.32825832310721</v>
      </c>
      <c r="N61" s="499">
        <f>+'Ft 7to9'!E17</f>
        <v>152184</v>
      </c>
      <c r="P61" s="699">
        <f>+E61/N61</f>
        <v>132.32825832310721</v>
      </c>
      <c r="R61" s="732">
        <f>+P61/$P$61</f>
        <v>1</v>
      </c>
      <c r="T61" s="427">
        <f>+'Ft 7to9'!E17</f>
        <v>152184</v>
      </c>
      <c r="V61" s="578"/>
      <c r="W61" s="279"/>
      <c r="X61" s="575"/>
      <c r="Z61" s="475">
        <f>+N61</f>
        <v>152184</v>
      </c>
      <c r="AA61" s="551">
        <v>1</v>
      </c>
      <c r="AB61" s="475">
        <f>+Z61*AA61</f>
        <v>152184</v>
      </c>
      <c r="AC61" s="571">
        <f>+AB61/AB$68</f>
        <v>0.54474640480581271</v>
      </c>
    </row>
    <row r="62" spans="1:29">
      <c r="A62" s="401" t="s">
        <v>318</v>
      </c>
      <c r="B62" s="401"/>
      <c r="D62" s="401"/>
      <c r="E62" s="427">
        <v>15662761</v>
      </c>
      <c r="F62" s="401"/>
      <c r="H62" s="401"/>
      <c r="I62" s="463">
        <f t="shared" si="4"/>
        <v>0.3271</v>
      </c>
      <c r="L62" s="576"/>
      <c r="M62" s="740">
        <f t="shared" si="5"/>
        <v>964.27759650310907</v>
      </c>
      <c r="N62" s="499">
        <f>+'Ft 7to9'!E18</f>
        <v>16243</v>
      </c>
      <c r="P62" s="699">
        <f>+E62/N62</f>
        <v>964.27759650310907</v>
      </c>
      <c r="R62" s="732">
        <f t="shared" ref="R62:R66" si="6">+P62/$P$61</f>
        <v>7.2870119256661186</v>
      </c>
      <c r="T62" s="427">
        <f>+'Ft 7to9'!E18</f>
        <v>16243</v>
      </c>
      <c r="V62" s="578"/>
      <c r="W62" s="279"/>
      <c r="X62" s="575"/>
      <c r="Z62" s="475">
        <f t="shared" ref="Z62:Z66" si="7">+N62</f>
        <v>16243</v>
      </c>
      <c r="AA62" s="551">
        <v>7.83</v>
      </c>
      <c r="AB62" s="475">
        <f t="shared" ref="AB62:AB66" si="8">+Z62*AA62</f>
        <v>127182.69</v>
      </c>
      <c r="AC62" s="571">
        <f t="shared" ref="AC62:AC66" si="9">+AB62/AB$68</f>
        <v>0.45525359519418723</v>
      </c>
    </row>
    <row r="63" spans="1:29">
      <c r="A63" s="401" t="s">
        <v>319</v>
      </c>
      <c r="B63" s="448"/>
      <c r="D63" s="401"/>
      <c r="E63" s="427">
        <v>7976921</v>
      </c>
      <c r="F63" s="401"/>
      <c r="H63" s="401"/>
      <c r="I63" s="463">
        <f t="shared" si="4"/>
        <v>0.1666</v>
      </c>
      <c r="L63" s="576"/>
      <c r="M63" s="740">
        <f t="shared" si="5"/>
        <v>18170.662870159453</v>
      </c>
      <c r="N63" s="499">
        <f>+'Ft 7to9'!E19</f>
        <v>439</v>
      </c>
      <c r="P63" s="699">
        <f>+E63/N63</f>
        <v>18170.662870159453</v>
      </c>
      <c r="R63" s="732">
        <f t="shared" si="6"/>
        <v>137.3150610491069</v>
      </c>
      <c r="T63" s="427">
        <f>+'Ft 7to9'!E19</f>
        <v>439</v>
      </c>
      <c r="V63" s="578"/>
      <c r="W63" s="279"/>
      <c r="X63" s="575"/>
      <c r="Z63" s="475">
        <f t="shared" si="7"/>
        <v>439</v>
      </c>
      <c r="AA63" s="551">
        <f>+N86/P61</f>
        <v>0</v>
      </c>
      <c r="AB63" s="475">
        <f t="shared" si="8"/>
        <v>0</v>
      </c>
      <c r="AC63" s="571">
        <f t="shared" si="9"/>
        <v>0</v>
      </c>
    </row>
    <row r="64" spans="1:29">
      <c r="A64" s="401" t="s">
        <v>320</v>
      </c>
      <c r="B64" s="448"/>
      <c r="D64" s="401"/>
      <c r="E64" s="427">
        <v>3200616</v>
      </c>
      <c r="F64" s="401"/>
      <c r="H64" s="401"/>
      <c r="I64" s="463">
        <f t="shared" si="4"/>
        <v>6.6900000000000001E-2</v>
      </c>
      <c r="L64" s="576"/>
      <c r="M64" s="740">
        <f t="shared" si="5"/>
        <v>23192.869565217392</v>
      </c>
      <c r="N64" s="499">
        <f>+'Ft 7to9'!E20</f>
        <v>138</v>
      </c>
      <c r="P64" s="699">
        <f>(+E64+E103)/N64</f>
        <v>70770.913043478256</v>
      </c>
      <c r="R64" s="732">
        <f t="shared" si="6"/>
        <v>534.81330397832505</v>
      </c>
      <c r="T64" s="427">
        <f>+'Ft 7to9'!E20</f>
        <v>138</v>
      </c>
      <c r="V64" s="578"/>
      <c r="W64" s="279"/>
      <c r="X64" s="575"/>
      <c r="Z64" s="475">
        <f t="shared" si="7"/>
        <v>138</v>
      </c>
      <c r="AA64" s="551">
        <f>+AA63</f>
        <v>0</v>
      </c>
      <c r="AB64" s="475">
        <f t="shared" si="8"/>
        <v>0</v>
      </c>
      <c r="AC64" s="571">
        <f t="shared" si="9"/>
        <v>0</v>
      </c>
    </row>
    <row r="65" spans="1:29">
      <c r="A65" s="401" t="s">
        <v>469</v>
      </c>
      <c r="B65" s="448"/>
      <c r="D65" s="401"/>
      <c r="E65" s="427">
        <v>132705.24469482095</v>
      </c>
      <c r="F65" s="401"/>
      <c r="H65" s="401"/>
      <c r="I65" s="463">
        <f t="shared" si="4"/>
        <v>2.8E-3</v>
      </c>
      <c r="L65" s="576"/>
      <c r="M65" s="740">
        <f t="shared" si="5"/>
        <v>8847.0163129880639</v>
      </c>
      <c r="N65" s="499">
        <f>+'Ft 7to9'!E21</f>
        <v>15</v>
      </c>
      <c r="P65" s="699">
        <f>(+E65+E104)/N65</f>
        <v>166789.7496463214</v>
      </c>
      <c r="R65" s="732">
        <f t="shared" si="6"/>
        <v>1260.4242794390086</v>
      </c>
      <c r="T65" s="427">
        <f>+'Ft 7to9'!E21</f>
        <v>15</v>
      </c>
      <c r="V65" s="578"/>
      <c r="W65" s="279"/>
      <c r="X65" s="575"/>
      <c r="Z65" s="475">
        <f t="shared" si="7"/>
        <v>15</v>
      </c>
      <c r="AA65" s="551">
        <f>+AA63</f>
        <v>0</v>
      </c>
      <c r="AB65" s="475">
        <f t="shared" si="8"/>
        <v>0</v>
      </c>
      <c r="AC65" s="571">
        <f t="shared" si="9"/>
        <v>0</v>
      </c>
    </row>
    <row r="66" spans="1:29">
      <c r="A66" s="401" t="s">
        <v>427</v>
      </c>
      <c r="B66" s="448"/>
      <c r="D66" s="401"/>
      <c r="E66" s="438">
        <v>765366</v>
      </c>
      <c r="F66" s="401"/>
      <c r="H66" s="401"/>
      <c r="I66" s="463">
        <f t="shared" si="4"/>
        <v>1.6E-2</v>
      </c>
      <c r="L66" s="576"/>
      <c r="M66" s="740">
        <f t="shared" si="5"/>
        <v>23192.909090909092</v>
      </c>
      <c r="N66" s="499">
        <f>+'Ft 7to9'!E22</f>
        <v>33</v>
      </c>
      <c r="P66" s="699">
        <f>(+E66+E105)/N66</f>
        <v>83829.181818181823</v>
      </c>
      <c r="R66" s="732">
        <f t="shared" si="6"/>
        <v>633.4941824254596</v>
      </c>
      <c r="T66" s="438">
        <f>+'Ft 7to9'!E22</f>
        <v>33</v>
      </c>
      <c r="V66" s="582"/>
      <c r="W66" s="279"/>
      <c r="X66" s="575"/>
      <c r="Z66" s="475">
        <f t="shared" si="7"/>
        <v>33</v>
      </c>
      <c r="AA66" s="551">
        <f>+AA63</f>
        <v>0</v>
      </c>
      <c r="AB66" s="475">
        <f t="shared" si="8"/>
        <v>0</v>
      </c>
      <c r="AC66" s="571">
        <f t="shared" si="9"/>
        <v>0</v>
      </c>
    </row>
    <row r="67" spans="1:29" ht="15.6" customHeight="1">
      <c r="A67" s="401"/>
      <c r="B67" s="448"/>
      <c r="D67" s="412"/>
      <c r="E67" s="283"/>
      <c r="F67" s="43"/>
      <c r="H67" s="412"/>
      <c r="I67" s="464"/>
      <c r="L67" s="576"/>
      <c r="M67" s="279"/>
      <c r="V67" s="279"/>
      <c r="W67" s="279"/>
      <c r="X67" s="728"/>
    </row>
    <row r="68" spans="1:29" ht="15.75" thickBot="1">
      <c r="A68" s="401" t="s">
        <v>176</v>
      </c>
      <c r="B68" s="401"/>
      <c r="D68" s="401"/>
      <c r="E68" s="751">
        <f>SUM(E61:E67)</f>
        <v>47876612.909338571</v>
      </c>
      <c r="F68" s="43">
        <f t="shared" ref="F68" si="10">SUM(F61:F66)</f>
        <v>0</v>
      </c>
      <c r="H68" s="401"/>
      <c r="I68" s="465">
        <f>SUM(I61:I66)</f>
        <v>1</v>
      </c>
      <c r="L68" s="576"/>
      <c r="M68" s="729"/>
      <c r="R68" s="729"/>
      <c r="S68" s="279"/>
      <c r="T68" s="560">
        <f>SUM(T61:T67)</f>
        <v>169052</v>
      </c>
      <c r="V68" s="729"/>
      <c r="W68" s="279"/>
      <c r="X68" s="706"/>
      <c r="AB68" s="475">
        <f>SUM(AB61:AB67)</f>
        <v>279366.69</v>
      </c>
    </row>
    <row r="69" spans="1:29" ht="15.75" thickTop="1">
      <c r="A69" s="401"/>
      <c r="B69" s="401"/>
      <c r="D69" s="401"/>
      <c r="F69" s="43"/>
      <c r="H69" s="401"/>
      <c r="I69" s="420"/>
      <c r="L69" s="576"/>
      <c r="M69" s="576"/>
      <c r="R69" s="475"/>
      <c r="V69" s="279"/>
      <c r="W69" s="279"/>
      <c r="X69" s="279"/>
    </row>
    <row r="70" spans="1:29">
      <c r="A70" s="401"/>
      <c r="B70" s="401"/>
      <c r="D70" s="401"/>
      <c r="F70" s="43"/>
      <c r="H70" s="401"/>
      <c r="I70" s="412"/>
      <c r="L70" s="576"/>
      <c r="M70" s="576"/>
      <c r="R70" s="475"/>
      <c r="V70" s="279"/>
      <c r="W70" s="279"/>
      <c r="X70" s="279"/>
    </row>
    <row r="71" spans="1:29">
      <c r="A71" s="402" t="s">
        <v>357</v>
      </c>
      <c r="B71" s="403"/>
      <c r="C71" s="403"/>
      <c r="D71" s="403"/>
      <c r="E71" s="403"/>
      <c r="F71" s="403"/>
      <c r="G71" s="441"/>
      <c r="H71" s="403"/>
      <c r="I71" s="403"/>
      <c r="L71" s="576"/>
      <c r="M71" s="576"/>
      <c r="R71" s="475"/>
      <c r="V71" s="279"/>
      <c r="W71" s="279"/>
      <c r="X71" s="279"/>
    </row>
    <row r="72" spans="1:29">
      <c r="A72" s="452"/>
      <c r="B72" s="403"/>
      <c r="C72" s="403"/>
      <c r="D72" s="403"/>
      <c r="E72" s="403"/>
      <c r="F72" s="403"/>
      <c r="G72" s="441"/>
      <c r="H72" s="403"/>
      <c r="I72" s="403"/>
      <c r="L72" s="576"/>
      <c r="M72" s="576"/>
      <c r="R72" s="475"/>
      <c r="V72" s="279"/>
      <c r="W72" s="279"/>
      <c r="X72" s="279"/>
    </row>
    <row r="73" spans="1:29">
      <c r="A73" s="832" t="s">
        <v>695</v>
      </c>
      <c r="B73" s="833"/>
      <c r="C73" s="833"/>
      <c r="D73" s="833"/>
      <c r="E73" s="833"/>
      <c r="F73" s="833"/>
      <c r="G73" s="833"/>
      <c r="H73" s="833"/>
      <c r="I73" s="833"/>
      <c r="L73" s="576"/>
      <c r="M73" s="576"/>
      <c r="R73" s="475"/>
      <c r="V73" s="279"/>
      <c r="W73" s="279"/>
      <c r="X73" s="279"/>
    </row>
    <row r="74" spans="1:29">
      <c r="A74" s="401"/>
      <c r="B74" s="401"/>
      <c r="C74" s="401"/>
      <c r="D74" s="401"/>
      <c r="E74" s="401"/>
      <c r="F74" s="401"/>
      <c r="G74" s="427"/>
      <c r="H74" s="401"/>
      <c r="I74" s="401"/>
      <c r="L74" s="576"/>
      <c r="M74" s="576"/>
      <c r="R74" s="475"/>
      <c r="V74" s="279"/>
      <c r="W74" s="279"/>
      <c r="X74" s="279"/>
    </row>
    <row r="75" spans="1:29">
      <c r="A75" s="400" t="s">
        <v>171</v>
      </c>
      <c r="B75" s="401"/>
      <c r="C75" s="404" t="s">
        <v>203</v>
      </c>
      <c r="D75" s="442"/>
      <c r="E75" s="442"/>
      <c r="F75" s="442"/>
      <c r="G75" s="429" t="s">
        <v>185</v>
      </c>
      <c r="H75" s="404"/>
      <c r="I75" s="408" t="s">
        <v>180</v>
      </c>
      <c r="L75" s="576"/>
      <c r="M75" s="576"/>
      <c r="R75" s="475"/>
      <c r="V75" s="279"/>
      <c r="W75" s="279"/>
      <c r="X75" s="279"/>
    </row>
    <row r="76" spans="1:29">
      <c r="A76" s="443" t="s">
        <v>172</v>
      </c>
      <c r="B76" s="401"/>
      <c r="C76" s="416" t="s">
        <v>694</v>
      </c>
      <c r="D76" s="442"/>
      <c r="E76" s="444" t="s">
        <v>186</v>
      </c>
      <c r="F76" s="442"/>
      <c r="G76" s="445" t="s">
        <v>694</v>
      </c>
      <c r="H76" s="404"/>
      <c r="I76" s="416" t="s">
        <v>186</v>
      </c>
      <c r="L76" s="576"/>
      <c r="M76" s="576"/>
      <c r="R76" s="475"/>
      <c r="V76" s="279"/>
      <c r="W76" s="279"/>
      <c r="X76" s="279"/>
    </row>
    <row r="77" spans="1:29">
      <c r="A77" s="417">
        <v>-1</v>
      </c>
      <c r="B77" s="401"/>
      <c r="C77" s="408" t="s">
        <v>181</v>
      </c>
      <c r="D77" s="442"/>
      <c r="E77" s="446">
        <f>+C77-1</f>
        <v>-3</v>
      </c>
      <c r="F77" s="442"/>
      <c r="G77" s="447">
        <f>+E77-1</f>
        <v>-4</v>
      </c>
      <c r="H77" s="442"/>
      <c r="I77" s="417">
        <f>+G77-1</f>
        <v>-5</v>
      </c>
      <c r="L77" s="576"/>
      <c r="M77" s="576"/>
      <c r="R77" s="475"/>
      <c r="V77" s="279"/>
      <c r="W77" s="279"/>
      <c r="X77" s="279"/>
    </row>
    <row r="78" spans="1:29">
      <c r="A78" s="401"/>
      <c r="B78" s="448"/>
      <c r="C78" s="401"/>
      <c r="D78" s="401"/>
      <c r="E78" s="453"/>
      <c r="F78" s="401"/>
      <c r="G78" s="427"/>
      <c r="H78" s="401"/>
      <c r="I78" s="401"/>
      <c r="L78" s="576"/>
      <c r="M78" s="576"/>
      <c r="R78" s="475"/>
      <c r="V78" s="279"/>
      <c r="W78" s="279"/>
      <c r="X78" s="279"/>
    </row>
    <row r="79" spans="1:29">
      <c r="A79" s="409" t="s">
        <v>199</v>
      </c>
      <c r="B79" s="448"/>
      <c r="C79" s="401"/>
      <c r="D79" s="401"/>
      <c r="E79" s="401"/>
      <c r="F79" s="401"/>
      <c r="G79" s="427"/>
      <c r="H79" s="401"/>
      <c r="I79" s="411"/>
      <c r="L79" s="576"/>
      <c r="M79" s="576"/>
      <c r="R79" s="475"/>
      <c r="V79" s="279"/>
      <c r="W79" s="279"/>
      <c r="X79" s="279"/>
    </row>
    <row r="80" spans="1:29">
      <c r="A80" s="401" t="s">
        <v>322</v>
      </c>
      <c r="B80" s="448"/>
      <c r="C80" s="427">
        <f>+T61-C102</f>
        <v>152184</v>
      </c>
      <c r="D80" s="401"/>
      <c r="E80" s="744">
        <v>1</v>
      </c>
      <c r="F80" s="401"/>
      <c r="G80" s="450">
        <f t="shared" ref="G80:G81" si="11">+C80*E80</f>
        <v>152184</v>
      </c>
      <c r="H80" s="401"/>
      <c r="I80" s="463">
        <f>ROUND(+G80/$G$83,4)</f>
        <v>0.87490000000000001</v>
      </c>
      <c r="L80" s="576"/>
      <c r="M80" s="576"/>
      <c r="R80" s="475"/>
      <c r="V80" s="279"/>
      <c r="W80" s="279"/>
      <c r="X80" s="279"/>
    </row>
    <row r="81" spans="1:24">
      <c r="A81" s="401" t="s">
        <v>318</v>
      </c>
      <c r="B81" s="401"/>
      <c r="C81" s="438">
        <f>+T62</f>
        <v>16243</v>
      </c>
      <c r="D81" s="401"/>
      <c r="E81" s="744">
        <f>+T119</f>
        <v>1.34</v>
      </c>
      <c r="F81" s="401"/>
      <c r="G81" s="438">
        <f t="shared" si="11"/>
        <v>21765.620000000003</v>
      </c>
      <c r="H81" s="401"/>
      <c r="I81" s="463">
        <f>ROUND(+G81/$G$83,4)</f>
        <v>0.12509999999999999</v>
      </c>
      <c r="L81" s="576"/>
      <c r="M81" s="576"/>
      <c r="R81" s="475"/>
      <c r="V81" s="279"/>
      <c r="W81" s="279"/>
      <c r="X81" s="279"/>
    </row>
    <row r="82" spans="1:24">
      <c r="A82" s="401"/>
      <c r="B82" s="448"/>
      <c r="C82" s="427"/>
      <c r="D82" s="43"/>
      <c r="E82" s="43"/>
      <c r="F82" s="43"/>
      <c r="G82" s="450"/>
      <c r="H82" s="401"/>
      <c r="I82" s="464"/>
      <c r="L82" s="576"/>
      <c r="M82" s="576"/>
      <c r="R82" s="475"/>
      <c r="V82" s="279"/>
      <c r="W82" s="279"/>
      <c r="X82" s="279"/>
    </row>
    <row r="83" spans="1:24" ht="15.75" thickBot="1">
      <c r="A83" s="401" t="s">
        <v>176</v>
      </c>
      <c r="B83" s="401"/>
      <c r="C83" s="451">
        <f>SUM(C80:C81)</f>
        <v>168427</v>
      </c>
      <c r="D83" s="43"/>
      <c r="E83" s="43"/>
      <c r="F83" s="43"/>
      <c r="G83" s="451">
        <f>SUM(G80:G81)</f>
        <v>173949.62</v>
      </c>
      <c r="H83" s="401"/>
      <c r="I83" s="465">
        <f>SUM(I80:I81)</f>
        <v>1</v>
      </c>
      <c r="L83" s="576"/>
      <c r="M83" s="576"/>
      <c r="R83" s="475"/>
      <c r="V83" s="279"/>
      <c r="W83" s="279"/>
      <c r="X83" s="279"/>
    </row>
    <row r="84" spans="1:24" ht="15.75" thickTop="1">
      <c r="A84" s="401"/>
      <c r="B84" s="401"/>
      <c r="C84" s="454"/>
      <c r="D84" s="43"/>
      <c r="E84" s="43"/>
      <c r="F84" s="43"/>
      <c r="G84" s="454"/>
      <c r="H84" s="401"/>
      <c r="I84" s="420"/>
      <c r="N84" s="291"/>
      <c r="P84" s="699"/>
      <c r="R84" s="283"/>
    </row>
    <row r="85" spans="1:24" ht="14.1" customHeight="1">
      <c r="E85" s="43"/>
      <c r="N85" s="700"/>
      <c r="O85" s="225"/>
      <c r="P85" s="225"/>
      <c r="Q85" s="225"/>
      <c r="R85" s="290"/>
      <c r="S85" s="20"/>
      <c r="T85" s="20"/>
      <c r="U85" s="20"/>
      <c r="V85" s="20"/>
    </row>
    <row r="86" spans="1:24">
      <c r="A86" s="834" t="s">
        <v>635</v>
      </c>
      <c r="B86" s="834"/>
      <c r="C86" s="834"/>
      <c r="D86" s="834"/>
      <c r="E86" s="834"/>
      <c r="F86" s="834"/>
      <c r="G86" s="834"/>
      <c r="H86" s="834"/>
      <c r="I86" s="834"/>
      <c r="J86" s="834"/>
      <c r="N86" s="573"/>
    </row>
    <row r="87" spans="1:24">
      <c r="A87" s="400"/>
      <c r="B87" s="400"/>
      <c r="C87" s="400"/>
      <c r="D87" s="400"/>
      <c r="E87" s="400"/>
      <c r="F87" s="400"/>
      <c r="G87" s="439"/>
      <c r="H87" s="400"/>
      <c r="I87" s="400"/>
      <c r="J87" s="319"/>
    </row>
    <row r="88" spans="1:24">
      <c r="A88" s="829" t="s">
        <v>170</v>
      </c>
      <c r="B88" s="829"/>
      <c r="C88" s="829"/>
      <c r="D88" s="829"/>
      <c r="E88" s="829"/>
      <c r="F88" s="829"/>
      <c r="G88" s="829"/>
      <c r="H88" s="829"/>
      <c r="I88" s="829"/>
      <c r="J88" s="829"/>
    </row>
    <row r="89" spans="1:24">
      <c r="A89" s="401"/>
      <c r="B89" s="401"/>
      <c r="C89" s="401"/>
      <c r="D89" s="401"/>
      <c r="E89" s="401"/>
      <c r="F89" s="401"/>
      <c r="G89" s="427"/>
      <c r="H89" s="401"/>
      <c r="I89" s="401"/>
    </row>
    <row r="90" spans="1:24" ht="7.15" customHeight="1">
      <c r="A90" s="401"/>
      <c r="B90" s="401"/>
      <c r="C90" s="401"/>
      <c r="D90" s="401"/>
      <c r="E90" s="401"/>
      <c r="F90" s="401"/>
      <c r="G90" s="427"/>
      <c r="H90" s="401"/>
      <c r="I90" s="401"/>
      <c r="N90" s="230"/>
      <c r="O90" s="225"/>
      <c r="P90" s="225"/>
      <c r="Q90" s="225"/>
      <c r="R90" s="290"/>
      <c r="S90" s="20"/>
      <c r="T90" s="20"/>
      <c r="U90" s="20"/>
      <c r="V90" s="20"/>
    </row>
    <row r="91" spans="1:24" ht="13.9" customHeight="1">
      <c r="A91" s="402" t="s">
        <v>623</v>
      </c>
      <c r="B91" s="403"/>
      <c r="C91" s="403"/>
      <c r="D91" s="403"/>
      <c r="E91" s="403"/>
      <c r="F91" s="403"/>
      <c r="G91" s="441"/>
      <c r="H91" s="403"/>
      <c r="I91" s="403"/>
      <c r="N91" s="230"/>
      <c r="O91" s="225"/>
      <c r="P91" s="225"/>
      <c r="Q91" s="225"/>
      <c r="R91" s="290"/>
      <c r="S91" s="20"/>
      <c r="T91" s="20"/>
      <c r="U91" s="20"/>
      <c r="V91" s="20"/>
    </row>
    <row r="92" spans="1:24" ht="13.15" customHeight="1">
      <c r="A92" s="402" t="s">
        <v>624</v>
      </c>
      <c r="B92" s="403"/>
      <c r="C92" s="403"/>
      <c r="D92" s="403"/>
      <c r="E92" s="403"/>
      <c r="F92" s="403"/>
      <c r="G92" s="441"/>
      <c r="H92" s="403"/>
      <c r="I92" s="403"/>
      <c r="N92" s="230"/>
      <c r="O92" s="225"/>
      <c r="P92" s="225"/>
      <c r="Q92" s="225"/>
      <c r="R92" s="290"/>
      <c r="S92" s="20"/>
      <c r="T92" s="20"/>
      <c r="U92" s="20"/>
      <c r="V92" s="20"/>
    </row>
    <row r="93" spans="1:24">
      <c r="A93" s="430"/>
      <c r="B93" s="401"/>
      <c r="C93" s="401"/>
      <c r="D93" s="401"/>
      <c r="E93" s="401"/>
      <c r="F93" s="401"/>
      <c r="G93" s="427"/>
      <c r="H93" s="401"/>
      <c r="I93" s="401"/>
      <c r="N93" s="230"/>
      <c r="O93" s="225"/>
      <c r="P93" s="225"/>
      <c r="Q93" s="225"/>
      <c r="R93" s="290"/>
      <c r="S93" s="20"/>
      <c r="T93" s="20"/>
      <c r="U93" s="20"/>
      <c r="V93" s="20"/>
    </row>
    <row r="94" spans="1:24" ht="29.45" customHeight="1">
      <c r="A94" s="832" t="s">
        <v>607</v>
      </c>
      <c r="B94" s="833"/>
      <c r="C94" s="833"/>
      <c r="D94" s="833"/>
      <c r="E94" s="833"/>
      <c r="F94" s="833"/>
      <c r="G94" s="833"/>
      <c r="H94" s="833"/>
      <c r="I94" s="833"/>
      <c r="N94" s="230"/>
      <c r="O94" s="225"/>
      <c r="P94" s="225"/>
      <c r="Q94" s="225"/>
      <c r="R94" s="290"/>
      <c r="S94" s="20"/>
      <c r="T94" s="20"/>
      <c r="U94" s="20"/>
      <c r="V94" s="20"/>
    </row>
    <row r="95" spans="1:24">
      <c r="A95" s="401"/>
      <c r="B95" s="401"/>
      <c r="C95" s="401"/>
      <c r="D95" s="401"/>
      <c r="E95" s="401"/>
      <c r="F95" s="401"/>
      <c r="G95" s="427"/>
      <c r="H95" s="401"/>
      <c r="I95" s="401"/>
      <c r="N95" s="230"/>
      <c r="O95" s="225"/>
      <c r="P95" s="225"/>
      <c r="Q95" s="225"/>
      <c r="R95" s="290"/>
      <c r="S95" s="20"/>
      <c r="T95" s="20"/>
      <c r="U95" s="20"/>
      <c r="V95" s="20"/>
    </row>
    <row r="96" spans="1:24">
      <c r="A96" s="401"/>
      <c r="B96" s="401"/>
      <c r="C96" s="427"/>
      <c r="D96" s="401"/>
      <c r="E96" s="401"/>
      <c r="F96" s="401"/>
      <c r="G96" s="427"/>
      <c r="H96" s="401"/>
      <c r="I96" s="401"/>
      <c r="N96" s="230"/>
      <c r="O96" s="225"/>
      <c r="P96" s="225"/>
      <c r="Q96" s="225"/>
      <c r="R96" s="290"/>
      <c r="S96" s="20"/>
      <c r="T96" s="20"/>
      <c r="U96" s="20"/>
      <c r="V96" s="20"/>
    </row>
    <row r="97" spans="1:22">
      <c r="A97" s="400" t="s">
        <v>171</v>
      </c>
      <c r="B97" s="401"/>
      <c r="D97" s="587"/>
      <c r="E97" s="429" t="s">
        <v>216</v>
      </c>
      <c r="F97" s="442"/>
      <c r="G97" s="1"/>
      <c r="H97" s="404"/>
      <c r="I97" s="408" t="s">
        <v>180</v>
      </c>
      <c r="N97" s="230"/>
      <c r="O97" s="225"/>
      <c r="P97" s="225"/>
      <c r="Q97" s="225"/>
      <c r="R97" s="290"/>
      <c r="S97" s="20"/>
      <c r="T97" s="20"/>
      <c r="U97" s="20"/>
      <c r="V97" s="20"/>
    </row>
    <row r="98" spans="1:22">
      <c r="A98" s="443" t="s">
        <v>172</v>
      </c>
      <c r="B98" s="401"/>
      <c r="D98" s="587"/>
      <c r="E98" s="445" t="s">
        <v>605</v>
      </c>
      <c r="F98" s="442"/>
      <c r="G98" s="1"/>
      <c r="H98" s="404"/>
      <c r="I98" s="416" t="s">
        <v>186</v>
      </c>
      <c r="N98" s="225"/>
      <c r="O98" s="20"/>
      <c r="P98" s="20"/>
      <c r="Q98" s="20"/>
      <c r="R98" s="20"/>
      <c r="S98" s="20"/>
      <c r="T98" s="20"/>
      <c r="U98" s="20"/>
      <c r="V98" s="20"/>
    </row>
    <row r="99" spans="1:22">
      <c r="A99" s="417">
        <v>-1</v>
      </c>
      <c r="B99" s="401"/>
      <c r="D99" s="442"/>
      <c r="E99" s="447">
        <f>+A99-1</f>
        <v>-2</v>
      </c>
      <c r="F99" s="442"/>
      <c r="G99" s="1"/>
      <c r="H99" s="442"/>
      <c r="I99" s="417">
        <f>+E99-1</f>
        <v>-3</v>
      </c>
      <c r="N99" s="225"/>
      <c r="O99" s="20"/>
      <c r="P99" s="20"/>
      <c r="Q99" s="20"/>
      <c r="R99" s="20"/>
      <c r="S99" s="20"/>
      <c r="T99" s="20"/>
      <c r="U99" s="20"/>
      <c r="V99" s="20"/>
    </row>
    <row r="100" spans="1:22">
      <c r="A100" s="401"/>
      <c r="B100" s="448"/>
      <c r="D100" s="401"/>
      <c r="E100" s="427"/>
      <c r="F100" s="401"/>
      <c r="G100" s="1"/>
      <c r="H100" s="401"/>
      <c r="I100" s="401"/>
    </row>
    <row r="101" spans="1:22">
      <c r="A101" s="409" t="s">
        <v>255</v>
      </c>
      <c r="B101" s="448"/>
      <c r="D101" s="401"/>
      <c r="E101" s="427"/>
      <c r="F101" s="401"/>
      <c r="G101" s="1"/>
      <c r="H101" s="401"/>
      <c r="I101" s="463"/>
    </row>
    <row r="102" spans="1:22">
      <c r="A102" s="401" t="s">
        <v>318</v>
      </c>
      <c r="B102" s="448"/>
      <c r="D102" s="401"/>
      <c r="E102" s="449">
        <v>0</v>
      </c>
      <c r="F102" s="401"/>
      <c r="G102" s="1"/>
      <c r="H102" s="401"/>
      <c r="I102" s="575">
        <f>ROUND(+E102/$E$106,4)</f>
        <v>0</v>
      </c>
      <c r="J102" s="576"/>
      <c r="K102" s="576"/>
      <c r="L102" s="576"/>
      <c r="M102" s="576"/>
      <c r="N102" s="584"/>
    </row>
    <row r="103" spans="1:22">
      <c r="A103" s="401" t="s">
        <v>320</v>
      </c>
      <c r="B103" s="448"/>
      <c r="D103" s="412"/>
      <c r="E103" s="450">
        <v>6565770</v>
      </c>
      <c r="F103" s="412"/>
      <c r="G103" s="1"/>
      <c r="H103" s="412"/>
      <c r="I103" s="575">
        <f>ROUND(+E103/$E$106,4)</f>
        <v>0.60040000000000004</v>
      </c>
      <c r="J103" s="576"/>
      <c r="K103" s="576"/>
      <c r="L103" s="576"/>
      <c r="M103" s="576"/>
      <c r="N103" s="584"/>
      <c r="P103" s="475"/>
      <c r="R103" s="475"/>
    </row>
    <row r="104" spans="1:22">
      <c r="A104" s="401" t="s">
        <v>584</v>
      </c>
      <c r="B104" s="448"/>
      <c r="D104" s="412"/>
      <c r="E104" s="580">
        <v>2369141</v>
      </c>
      <c r="F104" s="752"/>
      <c r="G104" s="279"/>
      <c r="H104" s="412"/>
      <c r="I104" s="575">
        <f>ROUND(+E104/$E$106,4)</f>
        <v>0.21659999999999999</v>
      </c>
      <c r="J104" s="576"/>
      <c r="K104" s="576"/>
      <c r="L104" s="576"/>
      <c r="M104" s="576"/>
      <c r="N104" s="584"/>
      <c r="P104" s="475"/>
      <c r="R104" s="475"/>
    </row>
    <row r="105" spans="1:22">
      <c r="A105" s="401" t="s">
        <v>427</v>
      </c>
      <c r="B105" s="448"/>
      <c r="D105" s="412"/>
      <c r="E105" s="450">
        <v>2000997</v>
      </c>
      <c r="F105" s="412"/>
      <c r="G105" s="1"/>
      <c r="H105" s="412"/>
      <c r="I105" s="575">
        <f>ROUND(+E105/$E$106,4)</f>
        <v>0.183</v>
      </c>
      <c r="J105" s="576"/>
      <c r="K105" s="576"/>
      <c r="L105" s="576"/>
      <c r="M105" s="576"/>
      <c r="N105" s="584"/>
      <c r="P105" s="475"/>
      <c r="R105" s="699"/>
    </row>
    <row r="106" spans="1:22" ht="22.9" customHeight="1" thickBot="1">
      <c r="A106" s="401" t="s">
        <v>176</v>
      </c>
      <c r="B106" s="401"/>
      <c r="D106" s="401"/>
      <c r="E106" s="588">
        <f>SUM(E102:E105)</f>
        <v>10935908</v>
      </c>
      <c r="F106" s="401"/>
      <c r="G106" s="1"/>
      <c r="H106" s="401"/>
      <c r="I106" s="577">
        <f>SUM(I102:I105)</f>
        <v>1</v>
      </c>
      <c r="J106" s="576"/>
      <c r="K106" s="576"/>
      <c r="L106" s="576"/>
      <c r="M106" s="576"/>
      <c r="N106" s="584"/>
      <c r="R106" s="463"/>
    </row>
    <row r="107" spans="1:22" ht="15.75" thickTop="1">
      <c r="A107" s="401"/>
      <c r="B107" s="401"/>
      <c r="D107" s="401"/>
      <c r="E107" s="427"/>
      <c r="F107" s="401"/>
      <c r="G107" s="1"/>
      <c r="H107" s="401"/>
      <c r="I107" s="43"/>
      <c r="R107" s="463"/>
    </row>
    <row r="108" spans="1:22">
      <c r="A108" s="401"/>
      <c r="B108" s="401"/>
      <c r="C108" s="401"/>
      <c r="D108" s="401"/>
      <c r="E108" s="401"/>
      <c r="F108" s="401"/>
      <c r="G108" s="427"/>
      <c r="H108" s="401"/>
      <c r="I108" s="43"/>
      <c r="R108" s="463"/>
    </row>
    <row r="109" spans="1:22">
      <c r="A109" s="440" t="s">
        <v>402</v>
      </c>
      <c r="B109" s="403"/>
      <c r="C109" s="403"/>
      <c r="D109" s="403"/>
      <c r="E109" s="403"/>
      <c r="F109" s="403"/>
      <c r="G109" s="441"/>
      <c r="H109" s="403"/>
      <c r="I109" s="403"/>
      <c r="R109" s="463"/>
    </row>
    <row r="110" spans="1:22">
      <c r="A110" s="402"/>
      <c r="B110" s="403"/>
      <c r="C110" s="403"/>
      <c r="D110" s="403"/>
      <c r="E110" s="403"/>
      <c r="F110" s="403"/>
      <c r="G110" s="441"/>
      <c r="H110" s="403"/>
      <c r="I110" s="403"/>
      <c r="R110" s="463"/>
    </row>
    <row r="111" spans="1:22" ht="28.15" customHeight="1">
      <c r="A111" s="832" t="s">
        <v>608</v>
      </c>
      <c r="B111" s="833"/>
      <c r="C111" s="833"/>
      <c r="D111" s="833"/>
      <c r="E111" s="833"/>
      <c r="F111" s="833"/>
      <c r="G111" s="833"/>
      <c r="H111" s="833"/>
      <c r="I111" s="833"/>
      <c r="R111" s="463"/>
    </row>
    <row r="112" spans="1:22" ht="15.75" thickBot="1">
      <c r="A112" s="401"/>
      <c r="B112" s="401"/>
      <c r="C112" s="401"/>
      <c r="D112" s="401"/>
      <c r="E112" s="401"/>
      <c r="F112" s="401"/>
      <c r="G112" s="427"/>
      <c r="H112" s="401"/>
      <c r="I112" s="401"/>
      <c r="R112" s="465"/>
    </row>
    <row r="113" spans="1:20" ht="15.75" thickTop="1">
      <c r="A113" s="400" t="s">
        <v>171</v>
      </c>
      <c r="B113" s="401"/>
      <c r="D113" s="442"/>
      <c r="E113" s="429" t="s">
        <v>216</v>
      </c>
      <c r="F113" s="442"/>
      <c r="H113" s="404"/>
      <c r="I113" s="408" t="s">
        <v>180</v>
      </c>
      <c r="N113" s="404" t="s">
        <v>203</v>
      </c>
    </row>
    <row r="114" spans="1:20">
      <c r="A114" s="443" t="s">
        <v>172</v>
      </c>
      <c r="B114" s="401"/>
      <c r="D114" s="442"/>
      <c r="E114" s="445" t="s">
        <v>161</v>
      </c>
      <c r="F114" s="442"/>
      <c r="H114" s="404"/>
      <c r="I114" s="416" t="s">
        <v>186</v>
      </c>
      <c r="N114" s="416" t="s">
        <v>329</v>
      </c>
    </row>
    <row r="115" spans="1:20">
      <c r="A115" s="417">
        <v>-1</v>
      </c>
      <c r="B115" s="401"/>
      <c r="D115" s="442"/>
      <c r="E115" s="408" t="s">
        <v>181</v>
      </c>
      <c r="F115" s="442"/>
      <c r="H115" s="442"/>
      <c r="I115" s="417">
        <f>+E115-1</f>
        <v>-3</v>
      </c>
      <c r="N115" s="408" t="s">
        <v>181</v>
      </c>
    </row>
    <row r="116" spans="1:20">
      <c r="A116" s="401"/>
      <c r="B116" s="448"/>
      <c r="D116" s="401"/>
      <c r="E116" s="427"/>
      <c r="F116" s="401"/>
      <c r="H116" s="401"/>
      <c r="I116" s="401"/>
      <c r="N116" s="401"/>
    </row>
    <row r="117" spans="1:20">
      <c r="A117" s="409" t="s">
        <v>255</v>
      </c>
      <c r="B117" s="448"/>
      <c r="D117" s="401"/>
      <c r="E117" s="427"/>
      <c r="F117" s="401"/>
      <c r="H117" s="401"/>
      <c r="I117" s="411"/>
      <c r="N117" s="401"/>
    </row>
    <row r="118" spans="1:20">
      <c r="A118" s="401" t="s">
        <v>322</v>
      </c>
      <c r="B118" s="448"/>
      <c r="D118" s="401"/>
      <c r="E118" s="579">
        <v>209900493.62051356</v>
      </c>
      <c r="F118" s="460"/>
      <c r="G118" s="574"/>
      <c r="H118" s="460"/>
      <c r="I118" s="575">
        <f>ROUND(+E118/$E$124,4)</f>
        <v>0.86470000000000002</v>
      </c>
      <c r="J118" s="576"/>
      <c r="K118" s="576"/>
      <c r="L118" s="576"/>
      <c r="M118" s="576"/>
      <c r="N118" s="427">
        <v>152184</v>
      </c>
      <c r="P118" s="579"/>
      <c r="R118" s="699">
        <f>+E118/N118</f>
        <v>1379.2546760534192</v>
      </c>
    </row>
    <row r="119" spans="1:20">
      <c r="A119" s="401" t="s">
        <v>318</v>
      </c>
      <c r="B119" s="401"/>
      <c r="D119" s="401"/>
      <c r="E119" s="580">
        <v>29957720.488133274</v>
      </c>
      <c r="F119" s="460"/>
      <c r="G119" s="574"/>
      <c r="H119" s="460"/>
      <c r="I119" s="575">
        <f t="shared" ref="I119:I123" si="12">ROUND(+E119/$E$124,4)</f>
        <v>0.1234</v>
      </c>
      <c r="J119" s="576"/>
      <c r="K119" s="576"/>
      <c r="L119" s="576"/>
      <c r="M119" s="576"/>
      <c r="N119" s="427">
        <v>16243</v>
      </c>
      <c r="P119" s="580"/>
      <c r="R119" s="699">
        <f t="shared" ref="R119:R123" si="13">+E119/N119</f>
        <v>1844.3465177697024</v>
      </c>
      <c r="T119" s="699">
        <f>ROUND(+R119/R118,2)</f>
        <v>1.34</v>
      </c>
    </row>
    <row r="120" spans="1:20">
      <c r="A120" s="401" t="s">
        <v>319</v>
      </c>
      <c r="B120" s="448"/>
      <c r="D120" s="401"/>
      <c r="E120" s="580">
        <v>1723028.4440223703</v>
      </c>
      <c r="F120" s="460"/>
      <c r="G120" s="574"/>
      <c r="H120" s="460"/>
      <c r="I120" s="575">
        <f t="shared" si="12"/>
        <v>7.1000000000000004E-3</v>
      </c>
      <c r="J120" s="576"/>
      <c r="K120" s="576"/>
      <c r="L120" s="576"/>
      <c r="M120" s="576"/>
      <c r="N120" s="427">
        <v>439</v>
      </c>
      <c r="P120" s="580"/>
      <c r="R120" s="699">
        <f t="shared" si="13"/>
        <v>3924.8939499370622</v>
      </c>
    </row>
    <row r="121" spans="1:20">
      <c r="A121" s="401" t="s">
        <v>320</v>
      </c>
      <c r="B121" s="448"/>
      <c r="D121" s="401"/>
      <c r="E121" s="580">
        <v>793222.47258274676</v>
      </c>
      <c r="F121" s="460"/>
      <c r="G121" s="574"/>
      <c r="H121" s="460"/>
      <c r="I121" s="575">
        <f t="shared" si="12"/>
        <v>3.3E-3</v>
      </c>
      <c r="J121" s="576"/>
      <c r="K121" s="576"/>
      <c r="L121" s="576"/>
      <c r="M121" s="576"/>
      <c r="N121" s="427">
        <v>138</v>
      </c>
      <c r="P121" s="580"/>
      <c r="R121" s="699">
        <f t="shared" si="13"/>
        <v>5747.9889317590341</v>
      </c>
    </row>
    <row r="122" spans="1:20">
      <c r="A122" s="401" t="s">
        <v>584</v>
      </c>
      <c r="B122" s="448"/>
      <c r="D122" s="401"/>
      <c r="E122" s="581">
        <v>174993.34999999998</v>
      </c>
      <c r="F122" s="460"/>
      <c r="G122" s="574"/>
      <c r="H122" s="460"/>
      <c r="I122" s="575">
        <f t="shared" si="12"/>
        <v>6.9999999999999999E-4</v>
      </c>
      <c r="J122" s="576"/>
      <c r="K122" s="576"/>
      <c r="L122" s="576"/>
      <c r="M122" s="576"/>
      <c r="N122" s="427">
        <v>15</v>
      </c>
      <c r="P122" s="581"/>
      <c r="R122" s="699">
        <f t="shared" si="13"/>
        <v>11666.223333333332</v>
      </c>
    </row>
    <row r="123" spans="1:20">
      <c r="A123" s="401" t="s">
        <v>427</v>
      </c>
      <c r="B123" s="448"/>
      <c r="D123" s="460"/>
      <c r="E123" s="580">
        <v>189683.63474804815</v>
      </c>
      <c r="F123" s="460"/>
      <c r="G123" s="574"/>
      <c r="H123" s="460"/>
      <c r="I123" s="575">
        <f t="shared" si="12"/>
        <v>8.0000000000000004E-4</v>
      </c>
      <c r="J123" s="576"/>
      <c r="K123" s="576"/>
      <c r="L123" s="576"/>
      <c r="M123" s="576"/>
      <c r="N123" s="427">
        <v>33</v>
      </c>
      <c r="P123" s="582"/>
      <c r="R123" s="699">
        <f t="shared" si="13"/>
        <v>5747.988931759035</v>
      </c>
    </row>
    <row r="124" spans="1:20" ht="22.15" customHeight="1" thickBot="1">
      <c r="A124" s="401" t="s">
        <v>176</v>
      </c>
      <c r="B124" s="401"/>
      <c r="D124" s="401"/>
      <c r="E124" s="583">
        <f>SUM(E118:E123)</f>
        <v>242739142.00999999</v>
      </c>
      <c r="F124" s="460"/>
      <c r="G124" s="574"/>
      <c r="H124" s="460"/>
      <c r="I124" s="577">
        <f>SUM(I118:I123)</f>
        <v>1</v>
      </c>
      <c r="J124" s="576"/>
      <c r="K124" s="576"/>
      <c r="L124" s="576"/>
      <c r="M124" s="576"/>
      <c r="N124" s="455">
        <f>SUM(N118:N123)</f>
        <v>169052</v>
      </c>
      <c r="O124" s="455">
        <f t="shared" ref="O124" si="14">SUM(O118:O123)</f>
        <v>0</v>
      </c>
      <c r="P124" s="455"/>
    </row>
    <row r="125" spans="1:20" ht="15.75" thickTop="1">
      <c r="A125" s="401"/>
      <c r="B125" s="401"/>
      <c r="C125" s="401"/>
      <c r="D125" s="401"/>
      <c r="E125" s="578"/>
      <c r="F125" s="460"/>
      <c r="G125" s="574"/>
      <c r="H125" s="460"/>
      <c r="I125" s="576"/>
      <c r="J125" s="576"/>
      <c r="K125" s="727">
        <f>+N120+N121+N123</f>
        <v>610</v>
      </c>
      <c r="L125" s="576"/>
      <c r="M125" s="576"/>
      <c r="N125" s="767"/>
    </row>
    <row r="126" spans="1:20">
      <c r="A126" s="401"/>
      <c r="B126" s="401"/>
      <c r="C126" s="401"/>
      <c r="D126" s="401"/>
      <c r="E126" s="401"/>
      <c r="F126" s="401"/>
      <c r="G126" s="427"/>
      <c r="H126" s="401"/>
      <c r="I126" s="43"/>
      <c r="N126" s="573"/>
      <c r="P126" s="743"/>
      <c r="R126" s="743"/>
    </row>
    <row r="127" spans="1:20">
      <c r="A127" s="401"/>
      <c r="B127" s="401"/>
      <c r="C127" s="401"/>
      <c r="D127" s="401"/>
      <c r="E127" s="401"/>
      <c r="F127" s="401"/>
      <c r="G127" s="427"/>
      <c r="H127" s="401"/>
      <c r="I127" s="401"/>
      <c r="P127" s="475"/>
    </row>
    <row r="128" spans="1:20">
      <c r="A128" s="401"/>
      <c r="B128" s="401"/>
      <c r="C128" s="401"/>
      <c r="D128" s="401"/>
      <c r="E128" s="401"/>
      <c r="F128" s="401"/>
      <c r="G128" s="427"/>
      <c r="H128" s="401"/>
      <c r="I128" s="401"/>
      <c r="P128" s="475"/>
      <c r="R128" s="475"/>
    </row>
    <row r="129" spans="1:18">
      <c r="A129" s="401"/>
      <c r="B129" s="401"/>
      <c r="C129" s="401"/>
      <c r="D129" s="401"/>
      <c r="E129" s="401"/>
      <c r="F129" s="401"/>
      <c r="G129" s="427"/>
      <c r="H129" s="401"/>
      <c r="I129" s="401"/>
      <c r="P129" s="743"/>
      <c r="R129" s="743"/>
    </row>
    <row r="130" spans="1:18">
      <c r="G130" s="1"/>
    </row>
    <row r="131" spans="1:18">
      <c r="G131" s="1"/>
      <c r="P131" s="475"/>
      <c r="Q131" s="475"/>
      <c r="R131" s="475"/>
    </row>
    <row r="132" spans="1:18">
      <c r="G132" s="1"/>
    </row>
    <row r="133" spans="1:18">
      <c r="G133" s="1"/>
    </row>
    <row r="134" spans="1:18">
      <c r="G134" s="1"/>
    </row>
    <row r="135" spans="1:18">
      <c r="G135" s="1"/>
    </row>
    <row r="136" spans="1:18">
      <c r="G136" s="1"/>
    </row>
    <row r="137" spans="1:18">
      <c r="G137" s="1"/>
    </row>
    <row r="138" spans="1:18">
      <c r="G138" s="1"/>
    </row>
    <row r="139" spans="1:18">
      <c r="G139" s="1"/>
    </row>
    <row r="140" spans="1:18">
      <c r="G140" s="1"/>
    </row>
    <row r="141" spans="1:18">
      <c r="G141" s="1"/>
    </row>
    <row r="142" spans="1:18">
      <c r="G142" s="1"/>
    </row>
    <row r="143" spans="1:18">
      <c r="G143" s="1"/>
    </row>
    <row r="144" spans="1:18">
      <c r="D144" s="43"/>
      <c r="E144" s="43"/>
      <c r="F144" s="43"/>
      <c r="I144" s="401"/>
    </row>
  </sheetData>
  <mergeCells count="10">
    <mergeCell ref="A1:K1"/>
    <mergeCell ref="A3:K3"/>
    <mergeCell ref="A53:I53"/>
    <mergeCell ref="A73:I73"/>
    <mergeCell ref="A111:I111"/>
    <mergeCell ref="A94:I94"/>
    <mergeCell ref="A46:J46"/>
    <mergeCell ref="A48:J48"/>
    <mergeCell ref="A86:J86"/>
    <mergeCell ref="A88:J88"/>
  </mergeCells>
  <phoneticPr fontId="10" type="noConversion"/>
  <printOptions horizontalCentered="1"/>
  <pageMargins left="0.9" right="0.4" top="1" bottom="0.45" header="0" footer="0"/>
  <pageSetup scale="95" orientation="portrait" r:id="rId1"/>
  <headerFooter alignWithMargins="0"/>
  <rowBreaks count="2" manualBreakCount="2">
    <brk id="45" max="9" man="1"/>
    <brk id="8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zoomScale="90" zoomScaleNormal="90" workbookViewId="0">
      <selection activeCell="O17" sqref="O17"/>
    </sheetView>
  </sheetViews>
  <sheetFormatPr defaultColWidth="8.88671875" defaultRowHeight="12.75"/>
  <cols>
    <col min="1" max="1" width="13.44140625" style="234" customWidth="1"/>
    <col min="2" max="2" width="0.88671875" style="234" customWidth="1"/>
    <col min="3" max="3" width="1.6640625" style="234" customWidth="1"/>
    <col min="4" max="4" width="7.21875" style="234" bestFit="1" customWidth="1"/>
    <col min="5" max="5" width="1" style="234" customWidth="1"/>
    <col min="6" max="6" width="7.44140625" style="234" customWidth="1"/>
    <col min="7" max="7" width="1.109375" style="234" customWidth="1"/>
    <col min="8" max="8" width="7.5546875" style="234" customWidth="1"/>
    <col min="9" max="9" width="2.21875" style="234" customWidth="1"/>
    <col min="10" max="10" width="7.44140625" style="234" customWidth="1"/>
    <col min="11" max="11" width="1" style="234" customWidth="1"/>
    <col min="12" max="12" width="7.44140625" style="234" customWidth="1"/>
    <col min="13" max="13" width="1.44140625" style="234" customWidth="1"/>
    <col min="14" max="14" width="7.88671875" style="234" customWidth="1"/>
    <col min="15" max="16384" width="8.88671875" style="234"/>
  </cols>
  <sheetData>
    <row r="1" spans="1:18" s="233" customFormat="1" ht="15">
      <c r="A1" s="831" t="s">
        <v>635</v>
      </c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</row>
    <row r="2" spans="1:18" s="233" customFormat="1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Q2" s="779"/>
      <c r="R2" s="779"/>
    </row>
    <row r="3" spans="1:18" s="233" customFormat="1" ht="14.25">
      <c r="A3" s="829" t="s">
        <v>170</v>
      </c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Q3" s="779"/>
      <c r="R3" s="779"/>
    </row>
    <row r="4" spans="1:18" s="233" customFormat="1" ht="13.5" customHeight="1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Q4" s="779"/>
      <c r="R4" s="779"/>
    </row>
    <row r="6" spans="1:18" ht="15">
      <c r="A6" s="39" t="s">
        <v>395</v>
      </c>
      <c r="B6" s="7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8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8" ht="15">
      <c r="A8" s="5" t="s">
        <v>448</v>
      </c>
      <c r="B8" s="7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8" ht="15">
      <c r="A9" s="5" t="s">
        <v>454</v>
      </c>
      <c r="B9" s="7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8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8">
      <c r="A11" s="5"/>
      <c r="B11" s="5"/>
      <c r="C11" s="5"/>
      <c r="I11" s="5"/>
      <c r="J11" s="3" t="s">
        <v>189</v>
      </c>
      <c r="K11" s="3"/>
      <c r="L11" s="3"/>
      <c r="M11" s="5"/>
      <c r="N11" s="5"/>
    </row>
    <row r="12" spans="1:18">
      <c r="A12" s="5"/>
      <c r="B12" s="5"/>
      <c r="C12" s="5"/>
      <c r="D12" s="839" t="s">
        <v>436</v>
      </c>
      <c r="E12" s="839"/>
      <c r="F12" s="839"/>
      <c r="G12" s="839"/>
      <c r="H12" s="839"/>
      <c r="I12" s="5"/>
      <c r="J12" s="3" t="s">
        <v>190</v>
      </c>
      <c r="K12" s="3"/>
      <c r="L12" s="3"/>
      <c r="M12" s="5"/>
      <c r="N12" s="5"/>
    </row>
    <row r="13" spans="1:18">
      <c r="A13" s="3" t="s">
        <v>171</v>
      </c>
      <c r="B13" s="5"/>
      <c r="C13" s="5"/>
      <c r="D13" s="8" t="s">
        <v>183</v>
      </c>
      <c r="E13" s="236"/>
      <c r="F13" s="40" t="s">
        <v>180</v>
      </c>
      <c r="G13" s="193"/>
      <c r="H13" s="40" t="s">
        <v>185</v>
      </c>
      <c r="I13" s="5"/>
      <c r="J13" s="10" t="s">
        <v>180</v>
      </c>
      <c r="K13" s="16"/>
      <c r="L13" s="10" t="s">
        <v>185</v>
      </c>
      <c r="M13" s="5"/>
      <c r="N13" s="8" t="s">
        <v>180</v>
      </c>
    </row>
    <row r="14" spans="1:18">
      <c r="A14" s="3" t="s">
        <v>172</v>
      </c>
      <c r="B14" s="5"/>
      <c r="C14" s="5"/>
      <c r="D14" s="221" t="s">
        <v>184</v>
      </c>
      <c r="F14" s="8" t="s">
        <v>186</v>
      </c>
      <c r="G14" s="5"/>
      <c r="H14" s="8" t="s">
        <v>186</v>
      </c>
      <c r="I14" s="5"/>
      <c r="J14" s="8" t="s">
        <v>597</v>
      </c>
      <c r="K14" s="5"/>
      <c r="L14" s="8" t="s">
        <v>186</v>
      </c>
      <c r="M14" s="5"/>
      <c r="N14" s="8" t="s">
        <v>352</v>
      </c>
    </row>
    <row r="15" spans="1:18">
      <c r="A15" s="9" t="s">
        <v>173</v>
      </c>
      <c r="B15" s="5"/>
      <c r="C15" s="5"/>
      <c r="D15" s="10" t="s">
        <v>181</v>
      </c>
      <c r="F15" s="489">
        <v>-3</v>
      </c>
      <c r="G15" s="5"/>
      <c r="H15" s="10" t="s">
        <v>461</v>
      </c>
      <c r="I15" s="5"/>
      <c r="J15" s="489">
        <v>-5</v>
      </c>
      <c r="K15" s="5"/>
      <c r="L15" s="10" t="s">
        <v>462</v>
      </c>
      <c r="M15" s="5"/>
      <c r="N15" s="489">
        <v>-7</v>
      </c>
    </row>
    <row r="16" spans="1:18">
      <c r="A16" s="5"/>
      <c r="B16" s="5"/>
      <c r="C16" s="5"/>
      <c r="D16" s="236"/>
      <c r="F16" s="5"/>
      <c r="G16" s="5"/>
      <c r="H16" s="13">
        <f>+'Ft  1to4'!R99</f>
        <v>0.26533100183590874</v>
      </c>
      <c r="I16" s="13"/>
      <c r="J16" s="13"/>
      <c r="K16" s="13"/>
      <c r="L16" s="13">
        <f>+'Ft  1to4'!X42</f>
        <v>0.73466899816409126</v>
      </c>
      <c r="M16" s="5"/>
      <c r="N16" s="5"/>
    </row>
    <row r="17" spans="1:14">
      <c r="A17" s="11" t="s">
        <v>254</v>
      </c>
      <c r="B17" s="5"/>
      <c r="C17" s="5"/>
      <c r="F17" s="5"/>
      <c r="G17" s="5"/>
      <c r="H17" s="5"/>
      <c r="I17" s="5"/>
      <c r="J17" s="5"/>
      <c r="K17" s="5"/>
      <c r="L17" s="5"/>
      <c r="M17" s="5"/>
      <c r="N17" s="5"/>
    </row>
    <row r="18" spans="1:14">
      <c r="A18" s="5" t="s">
        <v>322</v>
      </c>
      <c r="B18" s="5"/>
      <c r="C18" s="5"/>
      <c r="D18" s="469">
        <f>+'Ft  1to4'!R19</f>
        <v>44134</v>
      </c>
      <c r="F18" s="390">
        <f>+ROUND(D18/$D$25,4)</f>
        <v>0.48399999999999999</v>
      </c>
      <c r="G18" s="13"/>
      <c r="H18" s="390">
        <f>ROUND(+F18*H$16,4)</f>
        <v>0.12839999999999999</v>
      </c>
      <c r="I18" s="13"/>
      <c r="J18" s="390">
        <f>+'Ftr 3 &amp; 6'!K39</f>
        <v>0.60260000000000002</v>
      </c>
      <c r="K18" s="13"/>
      <c r="L18" s="390">
        <f>ROUND(+J18*L$16,4)</f>
        <v>0.44269999999999998</v>
      </c>
      <c r="M18" s="13"/>
      <c r="N18" s="390">
        <f t="shared" ref="N18:N23" si="0">L18+H18</f>
        <v>0.57109999999999994</v>
      </c>
    </row>
    <row r="19" spans="1:14">
      <c r="A19" s="5" t="s">
        <v>318</v>
      </c>
      <c r="B19" s="5"/>
      <c r="C19" s="5"/>
      <c r="D19" s="469">
        <f>+'Ft  1to4'!R20</f>
        <v>18037</v>
      </c>
      <c r="E19" s="236"/>
      <c r="F19" s="390">
        <f t="shared" ref="F19:F23" si="1">+ROUND(D19/$D$25,4)</f>
        <v>0.1978</v>
      </c>
      <c r="G19" s="13"/>
      <c r="H19" s="390">
        <f t="shared" ref="H19:H23" si="2">ROUND(+F19*H$16,4)</f>
        <v>5.2499999999999998E-2</v>
      </c>
      <c r="I19" s="13"/>
      <c r="J19" s="390">
        <f>+'Ftr 3 &amp; 6'!K40</f>
        <v>0.25190000000000001</v>
      </c>
      <c r="K19" s="13"/>
      <c r="L19" s="390">
        <f t="shared" ref="L19:L23" si="3">ROUND(+J19*L$16,4)</f>
        <v>0.18509999999999999</v>
      </c>
      <c r="M19" s="13"/>
      <c r="N19" s="390">
        <f t="shared" si="0"/>
        <v>0.23759999999999998</v>
      </c>
    </row>
    <row r="20" spans="1:14">
      <c r="A20" s="5" t="s">
        <v>319</v>
      </c>
      <c r="B20" s="5"/>
      <c r="C20" s="5"/>
      <c r="D20" s="469">
        <f>+'Ft  1to4'!R21</f>
        <v>10837</v>
      </c>
      <c r="E20" s="236"/>
      <c r="F20" s="390">
        <f t="shared" si="1"/>
        <v>0.1188</v>
      </c>
      <c r="G20" s="13"/>
      <c r="H20" s="390">
        <f t="shared" si="2"/>
        <v>3.15E-2</v>
      </c>
      <c r="I20" s="13"/>
      <c r="J20" s="390">
        <f>+'Ftr 3 &amp; 6'!K41</f>
        <v>9.9000000000000005E-2</v>
      </c>
      <c r="K20" s="13"/>
      <c r="L20" s="390">
        <f t="shared" si="3"/>
        <v>7.2700000000000001E-2</v>
      </c>
      <c r="M20" s="13"/>
      <c r="N20" s="390">
        <f t="shared" si="0"/>
        <v>0.1042</v>
      </c>
    </row>
    <row r="21" spans="1:14">
      <c r="A21" s="5" t="s">
        <v>320</v>
      </c>
      <c r="B21" s="5"/>
      <c r="C21" s="5"/>
      <c r="D21" s="469">
        <f>+'Ft  1to4'!R22</f>
        <v>14858</v>
      </c>
      <c r="E21" s="236"/>
      <c r="F21" s="390">
        <f t="shared" si="1"/>
        <v>0.16289999999999999</v>
      </c>
      <c r="G21" s="13"/>
      <c r="H21" s="390">
        <f t="shared" si="2"/>
        <v>4.3200000000000002E-2</v>
      </c>
      <c r="I21" s="13"/>
      <c r="J21" s="390">
        <f>+'Ftr 3 &amp; 6'!K42</f>
        <v>4.65E-2</v>
      </c>
      <c r="K21" s="13"/>
      <c r="L21" s="390">
        <f t="shared" ref="L21" si="4">ROUND(+J21*L$16,4)</f>
        <v>3.4200000000000001E-2</v>
      </c>
      <c r="M21" s="13"/>
      <c r="N21" s="390">
        <f t="shared" si="0"/>
        <v>7.7399999999999997E-2</v>
      </c>
    </row>
    <row r="22" spans="1:14" s="236" customFormat="1">
      <c r="A22" s="193" t="s">
        <v>584</v>
      </c>
      <c r="B22" s="193"/>
      <c r="C22" s="193"/>
      <c r="D22" s="469"/>
      <c r="F22" s="390">
        <f t="shared" si="1"/>
        <v>0</v>
      </c>
      <c r="G22" s="183"/>
      <c r="H22" s="390">
        <f t="shared" si="2"/>
        <v>0</v>
      </c>
      <c r="I22" s="183"/>
      <c r="J22" s="390">
        <v>0</v>
      </c>
      <c r="K22" s="183"/>
      <c r="L22" s="390">
        <f t="shared" si="3"/>
        <v>0</v>
      </c>
      <c r="M22" s="183"/>
      <c r="N22" s="390">
        <f t="shared" si="0"/>
        <v>0</v>
      </c>
    </row>
    <row r="23" spans="1:14">
      <c r="A23" s="5" t="s">
        <v>427</v>
      </c>
      <c r="B23" s="5"/>
      <c r="C23" s="5"/>
      <c r="D23" s="470">
        <f>+'Ft  1to4'!R24</f>
        <v>3328</v>
      </c>
      <c r="F23" s="459">
        <f t="shared" si="1"/>
        <v>3.6499999999999998E-2</v>
      </c>
      <c r="G23" s="13"/>
      <c r="H23" s="459">
        <f t="shared" si="2"/>
        <v>9.7000000000000003E-3</v>
      </c>
      <c r="I23" s="13"/>
      <c r="J23" s="459">
        <v>0</v>
      </c>
      <c r="K23" s="13"/>
      <c r="L23" s="459">
        <f t="shared" si="3"/>
        <v>0</v>
      </c>
      <c r="M23" s="13"/>
      <c r="N23" s="459">
        <f t="shared" si="0"/>
        <v>9.7000000000000003E-3</v>
      </c>
    </row>
    <row r="24" spans="1:14">
      <c r="A24" s="5"/>
      <c r="B24" s="5"/>
      <c r="C24" s="5"/>
      <c r="D24" s="469"/>
      <c r="F24" s="390"/>
      <c r="G24" s="13"/>
      <c r="H24" s="390"/>
      <c r="I24" s="13"/>
      <c r="J24" s="390"/>
      <c r="K24" s="13"/>
      <c r="L24" s="390"/>
      <c r="M24" s="13"/>
      <c r="N24" s="390"/>
    </row>
    <row r="25" spans="1:14" ht="13.5" thickBot="1">
      <c r="A25" s="5" t="s">
        <v>176</v>
      </c>
      <c r="B25" s="5"/>
      <c r="C25" s="5"/>
      <c r="D25" s="471">
        <f>SUM(D18:D24)</f>
        <v>91194</v>
      </c>
      <c r="F25" s="466">
        <f>SUM(F18:F23)</f>
        <v>1</v>
      </c>
      <c r="G25" s="5"/>
      <c r="H25" s="466">
        <f>SUM(H18:H23)</f>
        <v>0.26529999999999998</v>
      </c>
      <c r="I25" s="5"/>
      <c r="J25" s="466">
        <f>SUM(J18:J23)</f>
        <v>1</v>
      </c>
      <c r="K25" s="5"/>
      <c r="L25" s="466">
        <f>SUM(L18:L23)</f>
        <v>0.73469999999999991</v>
      </c>
      <c r="M25" s="5"/>
      <c r="N25" s="466">
        <f>SUM(N18:N23)</f>
        <v>1</v>
      </c>
    </row>
    <row r="26" spans="1:14" ht="13.5" thickTop="1"/>
    <row r="28" spans="1:14" ht="15">
      <c r="A28" s="835"/>
      <c r="B28" s="835"/>
      <c r="C28" s="835"/>
      <c r="D28" s="835"/>
      <c r="E28" s="835"/>
      <c r="F28" s="835"/>
      <c r="G28" s="835"/>
      <c r="H28" s="835"/>
      <c r="I28" s="835"/>
      <c r="J28" s="835"/>
      <c r="K28" s="835"/>
      <c r="L28" s="835"/>
      <c r="M28" s="835"/>
      <c r="N28" s="835"/>
    </row>
    <row r="29" spans="1:14">
      <c r="A29" s="778"/>
      <c r="B29" s="778"/>
      <c r="C29" s="778"/>
      <c r="D29" s="778"/>
      <c r="E29" s="778"/>
      <c r="F29" s="778"/>
      <c r="G29" s="778"/>
      <c r="H29" s="778"/>
      <c r="I29" s="778"/>
      <c r="J29" s="778"/>
      <c r="K29" s="778"/>
      <c r="L29" s="778"/>
      <c r="M29" s="779"/>
      <c r="N29" s="779"/>
    </row>
    <row r="30" spans="1:14" ht="14.25">
      <c r="A30" s="836"/>
      <c r="B30" s="836"/>
      <c r="C30" s="836"/>
      <c r="D30" s="836"/>
      <c r="E30" s="836"/>
      <c r="F30" s="836"/>
      <c r="G30" s="836"/>
      <c r="H30" s="836"/>
      <c r="I30" s="836"/>
      <c r="J30" s="836"/>
      <c r="K30" s="836"/>
      <c r="L30" s="836"/>
      <c r="M30" s="836"/>
      <c r="N30" s="836"/>
    </row>
    <row r="31" spans="1:14">
      <c r="A31" s="780"/>
      <c r="B31" s="780"/>
      <c r="C31" s="780"/>
      <c r="D31" s="780"/>
      <c r="E31" s="780"/>
      <c r="F31" s="780"/>
      <c r="G31" s="780"/>
      <c r="H31" s="780"/>
      <c r="I31" s="780"/>
      <c r="J31" s="780"/>
      <c r="K31" s="780"/>
      <c r="L31" s="780"/>
      <c r="M31" s="780"/>
      <c r="N31" s="780"/>
    </row>
    <row r="32" spans="1:14">
      <c r="A32" s="780"/>
      <c r="B32" s="780"/>
      <c r="C32" s="780"/>
      <c r="D32" s="780"/>
      <c r="E32" s="780"/>
      <c r="F32" s="780"/>
      <c r="G32" s="780"/>
      <c r="H32" s="780"/>
      <c r="I32" s="780"/>
      <c r="J32" s="780"/>
      <c r="K32" s="780"/>
      <c r="L32" s="780"/>
      <c r="M32" s="780"/>
      <c r="N32" s="780"/>
    </row>
    <row r="33" spans="1:14" s="323" customFormat="1">
      <c r="A33" s="781"/>
      <c r="B33" s="781"/>
      <c r="C33" s="781"/>
      <c r="D33" s="781"/>
      <c r="E33" s="781"/>
      <c r="F33" s="781"/>
      <c r="G33" s="781"/>
      <c r="H33" s="781"/>
      <c r="I33" s="781"/>
      <c r="J33" s="781"/>
      <c r="K33" s="781"/>
      <c r="L33" s="781"/>
      <c r="M33" s="779"/>
      <c r="N33" s="779"/>
    </row>
    <row r="34" spans="1:14" s="323" customFormat="1">
      <c r="A34" s="781"/>
      <c r="B34" s="781"/>
      <c r="C34" s="781"/>
      <c r="D34" s="781"/>
      <c r="E34" s="781"/>
      <c r="F34" s="781"/>
      <c r="G34" s="781"/>
      <c r="H34" s="781"/>
      <c r="I34" s="781"/>
      <c r="J34" s="781"/>
      <c r="K34" s="781"/>
      <c r="L34" s="781"/>
      <c r="M34" s="779"/>
      <c r="N34" s="779"/>
    </row>
    <row r="35" spans="1:14" s="323" customFormat="1">
      <c r="A35" s="781"/>
      <c r="B35" s="781"/>
      <c r="C35" s="781"/>
      <c r="D35" s="781"/>
      <c r="E35" s="781"/>
      <c r="F35" s="781"/>
      <c r="G35" s="781"/>
      <c r="H35" s="781"/>
      <c r="I35" s="781"/>
      <c r="J35" s="781"/>
      <c r="K35" s="781"/>
      <c r="L35" s="781"/>
      <c r="M35" s="779"/>
      <c r="N35" s="779"/>
    </row>
    <row r="36" spans="1:14" s="323" customFormat="1" ht="27.6" customHeight="1">
      <c r="A36" s="838"/>
      <c r="B36" s="838"/>
      <c r="C36" s="838"/>
      <c r="D36" s="838"/>
      <c r="E36" s="838"/>
      <c r="F36" s="838"/>
      <c r="G36" s="838"/>
      <c r="H36" s="838"/>
      <c r="I36" s="838"/>
      <c r="J36" s="838"/>
      <c r="K36" s="838"/>
      <c r="L36" s="838"/>
      <c r="M36" s="779"/>
      <c r="N36" s="779"/>
    </row>
    <row r="37" spans="1:14" s="323" customFormat="1">
      <c r="A37" s="782"/>
      <c r="B37" s="782"/>
      <c r="C37" s="782"/>
      <c r="D37" s="782"/>
      <c r="E37" s="782"/>
      <c r="F37" s="782"/>
      <c r="G37" s="782"/>
      <c r="H37" s="782"/>
      <c r="I37" s="782"/>
      <c r="J37" s="782"/>
      <c r="K37" s="782"/>
      <c r="L37" s="782"/>
      <c r="M37" s="779"/>
      <c r="N37" s="779"/>
    </row>
    <row r="38" spans="1:14" s="323" customFormat="1">
      <c r="A38" s="781"/>
      <c r="B38" s="781"/>
      <c r="C38" s="781"/>
      <c r="D38" s="779"/>
      <c r="E38" s="779"/>
      <c r="F38" s="783"/>
      <c r="G38" s="783"/>
      <c r="H38" s="783"/>
      <c r="I38" s="781"/>
      <c r="J38" s="779"/>
      <c r="K38" s="779"/>
      <c r="L38" s="779"/>
      <c r="M38" s="781"/>
      <c r="N38" s="781"/>
    </row>
    <row r="39" spans="1:14" s="323" customFormat="1">
      <c r="A39" s="781"/>
      <c r="B39" s="781"/>
      <c r="C39" s="781"/>
      <c r="D39" s="779"/>
      <c r="E39" s="779"/>
      <c r="F39" s="778"/>
      <c r="G39" s="778"/>
      <c r="H39" s="778"/>
      <c r="I39" s="781"/>
      <c r="J39" s="783"/>
      <c r="K39" s="783"/>
      <c r="L39" s="783"/>
      <c r="M39" s="781"/>
      <c r="N39" s="781"/>
    </row>
    <row r="40" spans="1:14" s="323" customFormat="1">
      <c r="A40" s="781"/>
      <c r="B40" s="781"/>
      <c r="C40" s="781"/>
      <c r="D40" s="779"/>
      <c r="E40" s="779"/>
      <c r="F40" s="778"/>
      <c r="G40" s="778"/>
      <c r="H40" s="778"/>
      <c r="I40" s="781"/>
      <c r="J40" s="778"/>
      <c r="K40" s="778"/>
      <c r="L40" s="778"/>
      <c r="M40" s="781"/>
      <c r="N40" s="781"/>
    </row>
    <row r="41" spans="1:14" s="323" customFormat="1">
      <c r="A41" s="778"/>
      <c r="B41" s="778"/>
      <c r="C41" s="781"/>
      <c r="D41" s="779"/>
      <c r="E41" s="779"/>
      <c r="F41" s="784"/>
      <c r="G41" s="784"/>
      <c r="H41" s="784"/>
      <c r="I41" s="785"/>
      <c r="J41" s="784"/>
      <c r="K41" s="784"/>
      <c r="L41" s="784"/>
      <c r="M41" s="785"/>
      <c r="N41" s="785"/>
    </row>
    <row r="42" spans="1:14" s="323" customFormat="1">
      <c r="A42" s="778"/>
      <c r="B42" s="778"/>
      <c r="C42" s="781"/>
      <c r="D42" s="779"/>
      <c r="E42" s="779"/>
      <c r="F42" s="785"/>
      <c r="G42" s="785"/>
      <c r="H42" s="785"/>
      <c r="I42" s="785"/>
      <c r="J42" s="785"/>
      <c r="K42" s="785"/>
      <c r="L42" s="785"/>
      <c r="M42" s="785"/>
      <c r="N42" s="785"/>
    </row>
    <row r="43" spans="1:14" s="323" customFormat="1">
      <c r="A43" s="786"/>
      <c r="B43" s="786"/>
      <c r="C43" s="781"/>
      <c r="D43" s="779"/>
      <c r="E43" s="779"/>
      <c r="F43" s="784"/>
      <c r="G43" s="781"/>
      <c r="H43" s="787"/>
      <c r="I43" s="781"/>
      <c r="J43" s="788"/>
      <c r="K43" s="781"/>
      <c r="L43" s="787"/>
      <c r="M43" s="781"/>
      <c r="N43" s="787"/>
    </row>
    <row r="44" spans="1:14" s="323" customFormat="1">
      <c r="A44" s="781"/>
      <c r="B44" s="781"/>
      <c r="C44" s="789"/>
      <c r="D44" s="779"/>
      <c r="E44" s="779"/>
      <c r="F44" s="789"/>
      <c r="G44" s="781"/>
      <c r="H44" s="790"/>
      <c r="I44" s="790"/>
      <c r="J44" s="790"/>
      <c r="K44" s="790"/>
      <c r="L44" s="790"/>
      <c r="M44" s="790"/>
      <c r="N44" s="791"/>
    </row>
    <row r="45" spans="1:14" s="323" customFormat="1">
      <c r="A45" s="792"/>
      <c r="B45" s="753"/>
      <c r="C45" s="754"/>
      <c r="D45" s="779"/>
      <c r="E45" s="779"/>
      <c r="F45" s="754"/>
      <c r="G45" s="753"/>
      <c r="H45" s="753"/>
      <c r="I45" s="753"/>
      <c r="J45" s="779"/>
      <c r="K45" s="779"/>
      <c r="L45" s="779"/>
      <c r="M45" s="779"/>
      <c r="N45" s="779"/>
    </row>
    <row r="46" spans="1:14" s="323" customFormat="1" ht="13.5" customHeight="1">
      <c r="A46" s="753"/>
      <c r="B46" s="753"/>
      <c r="C46" s="777"/>
      <c r="D46" s="779"/>
      <c r="E46" s="779"/>
      <c r="F46" s="793"/>
      <c r="G46" s="794"/>
      <c r="H46" s="795"/>
      <c r="I46" s="796"/>
      <c r="J46" s="797"/>
      <c r="K46" s="779"/>
      <c r="L46" s="798"/>
      <c r="M46" s="779"/>
      <c r="N46" s="798"/>
    </row>
    <row r="47" spans="1:14" s="323" customFormat="1">
      <c r="A47" s="753"/>
      <c r="B47" s="753"/>
      <c r="C47" s="777"/>
      <c r="D47" s="779"/>
      <c r="E47" s="779"/>
      <c r="F47" s="793"/>
      <c r="G47" s="794"/>
      <c r="H47" s="795"/>
      <c r="I47" s="796"/>
      <c r="J47" s="797"/>
      <c r="K47" s="779"/>
      <c r="L47" s="798"/>
      <c r="M47" s="779"/>
      <c r="N47" s="798"/>
    </row>
    <row r="48" spans="1:14" s="323" customFormat="1">
      <c r="A48" s="753"/>
      <c r="B48" s="753"/>
      <c r="C48" s="777"/>
      <c r="D48" s="779"/>
      <c r="E48" s="779"/>
      <c r="F48" s="793"/>
      <c r="G48" s="799"/>
      <c r="H48" s="795"/>
      <c r="I48" s="793"/>
      <c r="J48" s="797"/>
      <c r="K48" s="800"/>
      <c r="L48" s="797"/>
      <c r="M48" s="800"/>
      <c r="N48" s="797"/>
    </row>
    <row r="49" spans="1:14" s="323" customFormat="1">
      <c r="A49" s="753"/>
      <c r="B49" s="753"/>
      <c r="C49" s="777"/>
      <c r="D49" s="779"/>
      <c r="E49" s="779"/>
      <c r="F49" s="793"/>
      <c r="G49" s="799"/>
      <c r="H49" s="795"/>
      <c r="I49" s="793"/>
      <c r="J49" s="797"/>
      <c r="K49" s="800"/>
      <c r="L49" s="797"/>
      <c r="M49" s="800"/>
      <c r="N49" s="797"/>
    </row>
    <row r="50" spans="1:14" s="323" customFormat="1">
      <c r="A50" s="753"/>
      <c r="B50" s="753"/>
      <c r="C50" s="777"/>
      <c r="D50" s="779"/>
      <c r="E50" s="779"/>
      <c r="F50" s="793"/>
      <c r="G50" s="794"/>
      <c r="H50" s="795"/>
      <c r="I50" s="796"/>
      <c r="J50" s="797"/>
      <c r="K50" s="800"/>
      <c r="L50" s="797"/>
      <c r="M50" s="800"/>
      <c r="N50" s="797"/>
    </row>
    <row r="51" spans="1:14" s="323" customFormat="1">
      <c r="A51" s="753"/>
      <c r="B51" s="753"/>
      <c r="C51" s="777"/>
      <c r="D51" s="779"/>
      <c r="E51" s="779"/>
      <c r="F51" s="801"/>
      <c r="G51" s="794"/>
      <c r="H51" s="802"/>
      <c r="I51" s="793"/>
      <c r="J51" s="802"/>
      <c r="K51" s="800"/>
      <c r="L51" s="803"/>
      <c r="M51" s="779"/>
      <c r="N51" s="803"/>
    </row>
    <row r="52" spans="1:14" s="323" customFormat="1">
      <c r="A52" s="753"/>
      <c r="B52" s="753"/>
      <c r="C52" s="777"/>
      <c r="D52" s="779"/>
      <c r="E52" s="779"/>
      <c r="F52" s="754"/>
      <c r="G52" s="794"/>
      <c r="H52" s="753"/>
      <c r="I52" s="793"/>
      <c r="J52" s="800"/>
      <c r="K52" s="800"/>
      <c r="L52" s="800"/>
      <c r="M52" s="779"/>
      <c r="N52" s="800"/>
    </row>
    <row r="53" spans="1:14" s="323" customFormat="1" ht="13.5" thickBot="1">
      <c r="A53" s="753"/>
      <c r="B53" s="753"/>
      <c r="C53" s="777"/>
      <c r="D53" s="779"/>
      <c r="E53" s="779"/>
      <c r="F53" s="804"/>
      <c r="G53" s="753"/>
      <c r="H53" s="804"/>
      <c r="I53" s="793"/>
      <c r="J53" s="804"/>
      <c r="K53" s="793"/>
      <c r="L53" s="804"/>
      <c r="M53" s="779"/>
      <c r="N53" s="804"/>
    </row>
    <row r="54" spans="1:14" ht="13.5" thickTop="1">
      <c r="A54" s="779"/>
      <c r="B54" s="779"/>
      <c r="C54" s="779"/>
      <c r="D54" s="779"/>
      <c r="E54" s="779"/>
      <c r="F54" s="779"/>
      <c r="G54" s="779"/>
      <c r="H54" s="779"/>
      <c r="I54" s="779"/>
      <c r="J54" s="779"/>
      <c r="K54" s="779"/>
      <c r="L54" s="779"/>
      <c r="M54" s="779"/>
      <c r="N54" s="779"/>
    </row>
    <row r="55" spans="1:14">
      <c r="A55" s="780"/>
      <c r="B55" s="780"/>
      <c r="C55" s="780"/>
      <c r="D55" s="780"/>
      <c r="E55" s="780"/>
      <c r="F55" s="780"/>
      <c r="G55" s="780"/>
      <c r="H55" s="780"/>
      <c r="I55" s="780"/>
      <c r="J55" s="780"/>
      <c r="K55" s="780"/>
      <c r="L55" s="780"/>
      <c r="M55" s="780"/>
      <c r="N55" s="780"/>
    </row>
    <row r="56" spans="1:14" ht="15">
      <c r="A56" s="835"/>
      <c r="B56" s="835"/>
      <c r="C56" s="835"/>
      <c r="D56" s="835"/>
      <c r="E56" s="835"/>
      <c r="F56" s="835"/>
      <c r="G56" s="835"/>
      <c r="H56" s="835"/>
      <c r="I56" s="835"/>
      <c r="J56" s="835"/>
      <c r="K56" s="835"/>
      <c r="L56" s="835"/>
      <c r="M56" s="835"/>
      <c r="N56" s="835"/>
    </row>
    <row r="57" spans="1:14">
      <c r="A57" s="778"/>
      <c r="B57" s="778"/>
      <c r="C57" s="778"/>
      <c r="D57" s="778"/>
      <c r="E57" s="778"/>
      <c r="F57" s="778"/>
      <c r="G57" s="778"/>
      <c r="H57" s="778"/>
      <c r="I57" s="778"/>
      <c r="J57" s="778"/>
      <c r="K57" s="778"/>
      <c r="L57" s="778"/>
      <c r="M57" s="779"/>
      <c r="N57" s="779"/>
    </row>
    <row r="58" spans="1:14" ht="14.25">
      <c r="A58" s="836"/>
      <c r="B58" s="836"/>
      <c r="C58" s="836"/>
      <c r="D58" s="836"/>
      <c r="E58" s="836"/>
      <c r="F58" s="836"/>
      <c r="G58" s="836"/>
      <c r="H58" s="836"/>
      <c r="I58" s="836"/>
      <c r="J58" s="836"/>
      <c r="K58" s="836"/>
      <c r="L58" s="836"/>
      <c r="M58" s="836"/>
      <c r="N58" s="836"/>
    </row>
    <row r="59" spans="1:14">
      <c r="A59" s="780"/>
      <c r="B59" s="780"/>
      <c r="C59" s="780"/>
      <c r="D59" s="780"/>
      <c r="E59" s="780"/>
      <c r="F59" s="780"/>
      <c r="G59" s="780"/>
      <c r="H59" s="780"/>
      <c r="I59" s="780"/>
      <c r="J59" s="780"/>
      <c r="K59" s="780"/>
      <c r="L59" s="780"/>
      <c r="M59" s="780"/>
      <c r="N59" s="780"/>
    </row>
    <row r="60" spans="1:14">
      <c r="A60" s="780"/>
      <c r="B60" s="780"/>
      <c r="C60" s="780"/>
      <c r="D60" s="780"/>
      <c r="E60" s="780"/>
      <c r="F60" s="780"/>
      <c r="G60" s="780"/>
      <c r="H60" s="780"/>
      <c r="I60" s="780"/>
      <c r="J60" s="780"/>
      <c r="K60" s="780"/>
      <c r="L60" s="780"/>
      <c r="M60" s="780"/>
      <c r="N60" s="780"/>
    </row>
    <row r="61" spans="1:14" ht="15">
      <c r="A61" s="805"/>
      <c r="B61" s="806"/>
      <c r="C61" s="755"/>
      <c r="D61" s="755"/>
      <c r="E61" s="755"/>
      <c r="F61" s="755"/>
      <c r="G61" s="755"/>
      <c r="H61" s="755"/>
      <c r="I61" s="755"/>
      <c r="J61" s="755"/>
      <c r="K61" s="755"/>
      <c r="L61" s="755"/>
      <c r="M61" s="780"/>
      <c r="N61" s="780"/>
    </row>
    <row r="62" spans="1:14">
      <c r="A62" s="753"/>
      <c r="B62" s="753"/>
      <c r="C62" s="753"/>
      <c r="D62" s="753"/>
      <c r="E62" s="753"/>
      <c r="F62" s="753"/>
      <c r="G62" s="753"/>
      <c r="H62" s="753"/>
      <c r="I62" s="753"/>
      <c r="J62" s="753"/>
      <c r="K62" s="753"/>
      <c r="L62" s="753"/>
      <c r="M62" s="780"/>
      <c r="N62" s="780"/>
    </row>
    <row r="63" spans="1:14" ht="15">
      <c r="A63" s="753"/>
      <c r="B63" s="806"/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80"/>
      <c r="N63" s="780"/>
    </row>
    <row r="64" spans="1:14" ht="15">
      <c r="A64" s="753"/>
      <c r="B64" s="806"/>
      <c r="C64" s="755"/>
      <c r="D64" s="755"/>
      <c r="E64" s="755"/>
      <c r="F64" s="755"/>
      <c r="G64" s="755"/>
      <c r="H64" s="755"/>
      <c r="I64" s="755"/>
      <c r="J64" s="755"/>
      <c r="K64" s="755"/>
      <c r="L64" s="755"/>
      <c r="M64" s="780"/>
      <c r="N64" s="780"/>
    </row>
    <row r="65" spans="1:14">
      <c r="A65" s="753"/>
      <c r="B65" s="753"/>
      <c r="C65" s="753"/>
      <c r="D65" s="753"/>
      <c r="E65" s="753"/>
      <c r="F65" s="753"/>
      <c r="G65" s="753"/>
      <c r="H65" s="753"/>
      <c r="I65" s="753"/>
      <c r="J65" s="753"/>
      <c r="K65" s="753"/>
      <c r="L65" s="753"/>
      <c r="M65" s="780"/>
      <c r="N65" s="780"/>
    </row>
    <row r="66" spans="1:14">
      <c r="A66" s="753"/>
      <c r="B66" s="753"/>
      <c r="C66" s="753"/>
      <c r="D66" s="780"/>
      <c r="E66" s="780"/>
      <c r="F66" s="780"/>
      <c r="G66" s="780"/>
      <c r="H66" s="780"/>
      <c r="I66" s="753"/>
      <c r="J66" s="807"/>
      <c r="K66" s="807"/>
      <c r="L66" s="807"/>
      <c r="M66" s="753"/>
      <c r="N66" s="753"/>
    </row>
    <row r="67" spans="1:14">
      <c r="A67" s="753"/>
      <c r="B67" s="753"/>
      <c r="C67" s="753"/>
      <c r="D67" s="837"/>
      <c r="E67" s="837"/>
      <c r="F67" s="837"/>
      <c r="G67" s="837"/>
      <c r="H67" s="837"/>
      <c r="I67" s="753"/>
      <c r="J67" s="807"/>
      <c r="K67" s="807"/>
      <c r="L67" s="807"/>
      <c r="M67" s="753"/>
      <c r="N67" s="753"/>
    </row>
    <row r="68" spans="1:14">
      <c r="A68" s="807"/>
      <c r="B68" s="753"/>
      <c r="C68" s="753"/>
      <c r="D68" s="808"/>
      <c r="E68" s="809"/>
      <c r="F68" s="810"/>
      <c r="G68" s="754"/>
      <c r="H68" s="810"/>
      <c r="I68" s="753"/>
      <c r="J68" s="811"/>
      <c r="K68" s="812"/>
      <c r="L68" s="811"/>
      <c r="M68" s="753"/>
      <c r="N68" s="808"/>
    </row>
    <row r="69" spans="1:14">
      <c r="A69" s="807"/>
      <c r="B69" s="753"/>
      <c r="C69" s="753"/>
      <c r="D69" s="813"/>
      <c r="E69" s="780"/>
      <c r="F69" s="808"/>
      <c r="G69" s="753"/>
      <c r="H69" s="808"/>
      <c r="I69" s="753"/>
      <c r="J69" s="808"/>
      <c r="K69" s="753"/>
      <c r="L69" s="808"/>
      <c r="M69" s="753"/>
      <c r="N69" s="808"/>
    </row>
    <row r="70" spans="1:14">
      <c r="A70" s="814"/>
      <c r="B70" s="753"/>
      <c r="C70" s="753"/>
      <c r="D70" s="811"/>
      <c r="E70" s="780"/>
      <c r="F70" s="815"/>
      <c r="G70" s="753"/>
      <c r="H70" s="811"/>
      <c r="I70" s="753"/>
      <c r="J70" s="815"/>
      <c r="K70" s="753"/>
      <c r="L70" s="811"/>
      <c r="M70" s="753"/>
      <c r="N70" s="815"/>
    </row>
    <row r="71" spans="1:14">
      <c r="A71" s="753"/>
      <c r="B71" s="753"/>
      <c r="C71" s="753"/>
      <c r="D71" s="809"/>
      <c r="E71" s="780"/>
      <c r="F71" s="753"/>
      <c r="G71" s="753"/>
      <c r="H71" s="796"/>
      <c r="I71" s="796"/>
      <c r="J71" s="796"/>
      <c r="K71" s="796"/>
      <c r="L71" s="796"/>
      <c r="M71" s="753"/>
      <c r="N71" s="753"/>
    </row>
    <row r="72" spans="1:14">
      <c r="A72" s="792"/>
      <c r="B72" s="753"/>
      <c r="C72" s="753"/>
      <c r="D72" s="780"/>
      <c r="E72" s="780"/>
      <c r="F72" s="753"/>
      <c r="G72" s="753"/>
      <c r="H72" s="753"/>
      <c r="I72" s="753"/>
      <c r="J72" s="753"/>
      <c r="K72" s="753"/>
      <c r="L72" s="753"/>
      <c r="M72" s="753"/>
      <c r="N72" s="753"/>
    </row>
    <row r="73" spans="1:14">
      <c r="A73" s="753"/>
      <c r="B73" s="753"/>
      <c r="C73" s="753"/>
      <c r="D73" s="816"/>
      <c r="E73" s="780"/>
      <c r="F73" s="817"/>
      <c r="G73" s="796"/>
      <c r="H73" s="817"/>
      <c r="I73" s="796"/>
      <c r="J73" s="817"/>
      <c r="K73" s="796"/>
      <c r="L73" s="817"/>
      <c r="M73" s="796"/>
      <c r="N73" s="817"/>
    </row>
    <row r="74" spans="1:14">
      <c r="A74" s="753"/>
      <c r="B74" s="753"/>
      <c r="C74" s="753"/>
      <c r="D74" s="816"/>
      <c r="E74" s="809"/>
      <c r="F74" s="817"/>
      <c r="G74" s="796"/>
      <c r="H74" s="817"/>
      <c r="I74" s="796"/>
      <c r="J74" s="817"/>
      <c r="K74" s="796"/>
      <c r="L74" s="817"/>
      <c r="M74" s="796"/>
      <c r="N74" s="817"/>
    </row>
    <row r="75" spans="1:14">
      <c r="A75" s="753"/>
      <c r="B75" s="753"/>
      <c r="C75" s="753"/>
      <c r="D75" s="816"/>
      <c r="E75" s="809"/>
      <c r="F75" s="817"/>
      <c r="G75" s="796"/>
      <c r="H75" s="817"/>
      <c r="I75" s="796"/>
      <c r="J75" s="817"/>
      <c r="K75" s="796"/>
      <c r="L75" s="817"/>
      <c r="M75" s="796"/>
      <c r="N75" s="817"/>
    </row>
    <row r="76" spans="1:14">
      <c r="A76" s="753"/>
      <c r="B76" s="753"/>
      <c r="C76" s="753"/>
      <c r="D76" s="816"/>
      <c r="E76" s="809"/>
      <c r="F76" s="817"/>
      <c r="G76" s="796"/>
      <c r="H76" s="817"/>
      <c r="I76" s="796"/>
      <c r="J76" s="817"/>
      <c r="K76" s="796"/>
      <c r="L76" s="817"/>
      <c r="M76" s="796"/>
      <c r="N76" s="817"/>
    </row>
    <row r="77" spans="1:14">
      <c r="A77" s="754"/>
      <c r="B77" s="754"/>
      <c r="C77" s="754"/>
      <c r="D77" s="816"/>
      <c r="E77" s="809"/>
      <c r="F77" s="817"/>
      <c r="G77" s="793"/>
      <c r="H77" s="817"/>
      <c r="I77" s="793"/>
      <c r="J77" s="817"/>
      <c r="K77" s="793"/>
      <c r="L77" s="817"/>
      <c r="M77" s="793"/>
      <c r="N77" s="817"/>
    </row>
    <row r="78" spans="1:14">
      <c r="A78" s="753"/>
      <c r="B78" s="753"/>
      <c r="C78" s="753"/>
      <c r="D78" s="818"/>
      <c r="E78" s="780"/>
      <c r="F78" s="819"/>
      <c r="G78" s="796"/>
      <c r="H78" s="819"/>
      <c r="I78" s="796"/>
      <c r="J78" s="819"/>
      <c r="K78" s="796"/>
      <c r="L78" s="819"/>
      <c r="M78" s="796"/>
      <c r="N78" s="819"/>
    </row>
    <row r="79" spans="1:14">
      <c r="A79" s="753"/>
      <c r="B79" s="753"/>
      <c r="C79" s="753"/>
      <c r="D79" s="816"/>
      <c r="E79" s="780"/>
      <c r="F79" s="817"/>
      <c r="G79" s="796"/>
      <c r="H79" s="817"/>
      <c r="I79" s="796"/>
      <c r="J79" s="817"/>
      <c r="K79" s="796"/>
      <c r="L79" s="817"/>
      <c r="M79" s="796"/>
      <c r="N79" s="817"/>
    </row>
    <row r="80" spans="1:14" ht="13.5" thickBot="1">
      <c r="A80" s="753"/>
      <c r="B80" s="753"/>
      <c r="C80" s="753"/>
      <c r="D80" s="820"/>
      <c r="E80" s="780"/>
      <c r="F80" s="821"/>
      <c r="G80" s="753"/>
      <c r="H80" s="821"/>
      <c r="I80" s="753"/>
      <c r="J80" s="821"/>
      <c r="K80" s="753"/>
      <c r="L80" s="821"/>
      <c r="M80" s="753"/>
      <c r="N80" s="821"/>
    </row>
    <row r="81" spans="1:14" ht="13.5" thickTop="1">
      <c r="A81" s="780"/>
      <c r="B81" s="780"/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780"/>
      <c r="N81" s="780"/>
    </row>
  </sheetData>
  <mergeCells count="9">
    <mergeCell ref="A3:N3"/>
    <mergeCell ref="A1:N1"/>
    <mergeCell ref="A28:N28"/>
    <mergeCell ref="A30:N30"/>
    <mergeCell ref="D67:H67"/>
    <mergeCell ref="A56:N56"/>
    <mergeCell ref="A58:N58"/>
    <mergeCell ref="A36:L36"/>
    <mergeCell ref="D12:H12"/>
  </mergeCells>
  <phoneticPr fontId="10" type="noConversion"/>
  <printOptions horizontalCentered="1"/>
  <pageMargins left="0.75" right="0.75" top="1" bottom="1" header="0.5" footer="0.5"/>
  <pageSetup orientation="portrait" r:id="rId1"/>
  <headerFooter alignWithMargins="0"/>
  <rowBreaks count="1" manualBreakCount="1">
    <brk id="2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61"/>
  <sheetViews>
    <sheetView workbookViewId="0">
      <selection activeCell="L24" sqref="L24"/>
    </sheetView>
  </sheetViews>
  <sheetFormatPr defaultColWidth="9.6640625" defaultRowHeight="15"/>
  <cols>
    <col min="1" max="1" width="15.6640625" style="1" customWidth="1"/>
    <col min="2" max="2" width="2.6640625" style="1" customWidth="1"/>
    <col min="3" max="3" width="7.6640625" style="1" customWidth="1"/>
    <col min="4" max="4" width="2.6640625" style="1" customWidth="1"/>
    <col min="5" max="5" width="9.6640625" style="1" customWidth="1"/>
    <col min="6" max="6" width="2.6640625" style="1" customWidth="1"/>
    <col min="7" max="7" width="9.6640625" style="1" customWidth="1"/>
    <col min="8" max="8" width="2.6640625" style="1" customWidth="1"/>
    <col min="9" max="9" width="9.6640625" style="1" customWidth="1"/>
    <col min="10" max="10" width="1.5546875" style="1" customWidth="1"/>
    <col min="11" max="16384" width="9.6640625" style="1"/>
  </cols>
  <sheetData>
    <row r="1" spans="1:13">
      <c r="A1" s="831" t="s">
        <v>635</v>
      </c>
      <c r="B1" s="831"/>
      <c r="C1" s="831"/>
      <c r="D1" s="831"/>
      <c r="E1" s="831"/>
      <c r="F1" s="831"/>
      <c r="G1" s="831"/>
      <c r="H1" s="831"/>
      <c r="I1" s="831"/>
      <c r="J1" s="831"/>
    </row>
    <row r="3" spans="1:13">
      <c r="A3" s="829" t="s">
        <v>170</v>
      </c>
      <c r="B3" s="829"/>
      <c r="C3" s="829"/>
      <c r="D3" s="829"/>
      <c r="E3" s="829"/>
      <c r="F3" s="829"/>
      <c r="G3" s="829"/>
      <c r="H3" s="829"/>
      <c r="I3" s="829"/>
      <c r="J3" s="829"/>
    </row>
    <row r="4" spans="1:13">
      <c r="A4" s="106"/>
    </row>
    <row r="5" spans="1:13" ht="6.6" customHeigh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3">
      <c r="A6" s="25" t="s">
        <v>258</v>
      </c>
      <c r="B6" s="25"/>
      <c r="C6" s="25"/>
      <c r="D6" s="25"/>
      <c r="E6" s="25"/>
      <c r="F6" s="25"/>
      <c r="G6" s="25"/>
      <c r="H6" s="21"/>
      <c r="I6" s="21"/>
      <c r="J6" s="21"/>
    </row>
    <row r="7" spans="1:13">
      <c r="A7" s="25" t="s">
        <v>361</v>
      </c>
      <c r="B7" s="25"/>
      <c r="C7" s="25"/>
      <c r="D7" s="25"/>
      <c r="E7" s="25"/>
      <c r="F7" s="25"/>
      <c r="G7" s="25"/>
    </row>
    <row r="8" spans="1:13">
      <c r="A8" s="25"/>
      <c r="B8" s="25"/>
      <c r="C8" s="25"/>
      <c r="D8" s="25"/>
      <c r="E8" s="25"/>
      <c r="F8" s="25"/>
      <c r="G8" s="25"/>
    </row>
    <row r="9" spans="1:13">
      <c r="A9" s="5" t="s">
        <v>458</v>
      </c>
    </row>
    <row r="10" spans="1:13">
      <c r="A10" s="5"/>
    </row>
    <row r="12" spans="1:13">
      <c r="A12" s="3" t="s">
        <v>171</v>
      </c>
      <c r="B12" s="5"/>
      <c r="C12" s="399"/>
      <c r="D12" s="5"/>
      <c r="E12" s="40" t="s">
        <v>203</v>
      </c>
      <c r="F12" s="193"/>
      <c r="H12" s="193"/>
      <c r="I12" s="285" t="s">
        <v>180</v>
      </c>
      <c r="M12" s="40"/>
    </row>
    <row r="13" spans="1:13">
      <c r="A13" s="3" t="s">
        <v>172</v>
      </c>
      <c r="B13" s="5"/>
      <c r="D13" s="5"/>
      <c r="E13" s="399" t="s">
        <v>329</v>
      </c>
      <c r="F13" s="5"/>
      <c r="H13" s="5"/>
      <c r="I13" s="399" t="s">
        <v>363</v>
      </c>
      <c r="M13" s="399"/>
    </row>
    <row r="14" spans="1:13">
      <c r="A14" s="9" t="s">
        <v>173</v>
      </c>
      <c r="B14" s="5"/>
      <c r="C14" s="399"/>
      <c r="D14" s="5"/>
      <c r="E14" s="10" t="s">
        <v>181</v>
      </c>
      <c r="F14" s="5"/>
      <c r="H14" s="5"/>
      <c r="I14" s="491" t="s">
        <v>195</v>
      </c>
      <c r="M14" s="10"/>
    </row>
    <row r="15" spans="1:13">
      <c r="E15" s="5"/>
      <c r="I15" s="5"/>
      <c r="M15" s="5"/>
    </row>
    <row r="16" spans="1:13">
      <c r="A16" s="11" t="s">
        <v>255</v>
      </c>
      <c r="E16" s="5"/>
      <c r="I16" s="5"/>
      <c r="M16" s="5"/>
    </row>
    <row r="17" spans="1:13">
      <c r="A17" s="5" t="s">
        <v>322</v>
      </c>
      <c r="E17" s="223">
        <f>+'Ftr 3 &amp; 6'!N118</f>
        <v>152184</v>
      </c>
      <c r="I17" s="390">
        <f>ROUND(+E17/$E$24,4)</f>
        <v>0.9002</v>
      </c>
      <c r="M17" s="390"/>
    </row>
    <row r="18" spans="1:13">
      <c r="A18" s="5" t="s">
        <v>318</v>
      </c>
      <c r="E18" s="223">
        <f>+'Ftr 3 &amp; 6'!N119</f>
        <v>16243</v>
      </c>
      <c r="I18" s="390">
        <f t="shared" ref="I18:I22" si="0">ROUND(+E18/$E$24,4)</f>
        <v>9.6100000000000005E-2</v>
      </c>
      <c r="M18" s="390"/>
    </row>
    <row r="19" spans="1:13">
      <c r="A19" s="5" t="s">
        <v>319</v>
      </c>
      <c r="E19" s="223">
        <f>+'Ftr 3 &amp; 6'!N120</f>
        <v>439</v>
      </c>
      <c r="I19" s="390">
        <f t="shared" si="0"/>
        <v>2.5999999999999999E-3</v>
      </c>
      <c r="M19" s="390"/>
    </row>
    <row r="20" spans="1:13">
      <c r="A20" s="5" t="s">
        <v>320</v>
      </c>
      <c r="E20" s="223">
        <f>+'Ftr 3 &amp; 6'!N121</f>
        <v>138</v>
      </c>
      <c r="I20" s="390">
        <f t="shared" si="0"/>
        <v>8.0000000000000004E-4</v>
      </c>
      <c r="M20" s="390"/>
    </row>
    <row r="21" spans="1:13">
      <c r="A21" s="5" t="s">
        <v>468</v>
      </c>
      <c r="E21" s="223">
        <f>+'Ftr 3 &amp; 6'!N122</f>
        <v>15</v>
      </c>
      <c r="I21" s="390">
        <f t="shared" si="0"/>
        <v>1E-4</v>
      </c>
      <c r="M21" s="390"/>
    </row>
    <row r="22" spans="1:13" ht="14.1" customHeight="1">
      <c r="A22" s="5" t="s">
        <v>427</v>
      </c>
      <c r="E22" s="224">
        <f>+'Ftr 3 &amp; 6'!N123</f>
        <v>33</v>
      </c>
      <c r="I22" s="459">
        <f t="shared" si="0"/>
        <v>2.0000000000000001E-4</v>
      </c>
      <c r="M22" s="459"/>
    </row>
    <row r="23" spans="1:13" ht="12.95" customHeight="1">
      <c r="A23" s="5"/>
      <c r="I23" s="390"/>
      <c r="M23" s="390"/>
    </row>
    <row r="24" spans="1:13" ht="15.75" thickBot="1">
      <c r="A24" s="5" t="s">
        <v>176</v>
      </c>
      <c r="E24" s="474">
        <f>SUM(E17:E22)</f>
        <v>169052</v>
      </c>
      <c r="I24" s="466">
        <f>SUM(I17:I22)</f>
        <v>1</v>
      </c>
      <c r="L24" s="475"/>
      <c r="M24" s="466"/>
    </row>
    <row r="25" spans="1:13" ht="15.75" thickTop="1">
      <c r="E25" s="42"/>
      <c r="F25" s="43"/>
      <c r="H25" s="43"/>
      <c r="I25" s="42"/>
    </row>
    <row r="26" spans="1:13" ht="24" customHeight="1">
      <c r="A26" s="25" t="s">
        <v>609</v>
      </c>
      <c r="B26" s="25"/>
      <c r="C26" s="25"/>
      <c r="D26" s="25"/>
      <c r="E26" s="25"/>
      <c r="F26" s="25"/>
      <c r="G26" s="25"/>
      <c r="H26" s="21"/>
      <c r="I26" s="21"/>
    </row>
    <row r="27" spans="1:13" ht="10.15" customHeight="1">
      <c r="A27" s="25"/>
      <c r="B27" s="25"/>
      <c r="C27" s="25"/>
      <c r="D27" s="25"/>
      <c r="E27" s="25"/>
      <c r="F27" s="25"/>
      <c r="G27" s="25"/>
    </row>
    <row r="28" spans="1:13">
      <c r="A28" s="5" t="s">
        <v>610</v>
      </c>
    </row>
    <row r="29" spans="1:13">
      <c r="A29" s="5"/>
    </row>
    <row r="31" spans="1:13">
      <c r="A31" s="3" t="s">
        <v>171</v>
      </c>
      <c r="B31" s="5"/>
      <c r="C31" s="399"/>
      <c r="D31" s="5"/>
      <c r="E31" s="40" t="s">
        <v>203</v>
      </c>
      <c r="F31" s="193"/>
      <c r="G31" s="285"/>
      <c r="H31" s="193"/>
      <c r="I31" s="40" t="s">
        <v>180</v>
      </c>
    </row>
    <row r="32" spans="1:13">
      <c r="A32" s="3" t="s">
        <v>172</v>
      </c>
      <c r="B32" s="5"/>
      <c r="D32" s="5"/>
      <c r="E32" s="399" t="s">
        <v>329</v>
      </c>
      <c r="F32" s="5"/>
      <c r="H32" s="5"/>
      <c r="I32" s="399" t="s">
        <v>186</v>
      </c>
    </row>
    <row r="33" spans="1:10">
      <c r="A33" s="9" t="s">
        <v>173</v>
      </c>
      <c r="B33" s="5"/>
      <c r="C33" s="399"/>
      <c r="D33" s="5"/>
      <c r="E33" s="10" t="s">
        <v>181</v>
      </c>
      <c r="F33" s="5"/>
      <c r="G33" s="285"/>
      <c r="H33" s="5"/>
      <c r="I33" s="10" t="s">
        <v>195</v>
      </c>
      <c r="J33" s="43"/>
    </row>
    <row r="34" spans="1:10">
      <c r="E34" s="5"/>
      <c r="I34" s="5"/>
      <c r="J34" s="43"/>
    </row>
    <row r="35" spans="1:10">
      <c r="A35" s="11" t="s">
        <v>255</v>
      </c>
      <c r="E35" s="5"/>
      <c r="I35" s="5"/>
      <c r="J35" s="43"/>
    </row>
    <row r="36" spans="1:10">
      <c r="A36" s="5" t="s">
        <v>322</v>
      </c>
      <c r="E36" s="223">
        <f>+E17</f>
        <v>152184</v>
      </c>
      <c r="I36" s="390">
        <f>ROUND(+E36/$E$43,4)</f>
        <v>0.90359999999999996</v>
      </c>
      <c r="J36" s="43"/>
    </row>
    <row r="37" spans="1:10">
      <c r="A37" s="5" t="s">
        <v>318</v>
      </c>
      <c r="E37" s="223">
        <f>+E18</f>
        <v>16243</v>
      </c>
      <c r="I37" s="459">
        <f>ROUND(+E37/$E$43,4)</f>
        <v>9.64E-2</v>
      </c>
      <c r="J37" s="43"/>
    </row>
    <row r="38" spans="1:10" hidden="1">
      <c r="A38" s="5" t="s">
        <v>319</v>
      </c>
      <c r="E38" s="472">
        <f>+'Ft  1to4'!F126*12</f>
        <v>0</v>
      </c>
      <c r="I38" s="390">
        <f>ROUND(+E38/$E$24,4)</f>
        <v>0</v>
      </c>
      <c r="J38" s="43"/>
    </row>
    <row r="39" spans="1:10" ht="15.75" hidden="1" thickBot="1">
      <c r="A39" s="5" t="s">
        <v>320</v>
      </c>
      <c r="E39" s="472">
        <f>+'Ft  1to4'!F127*12</f>
        <v>0</v>
      </c>
      <c r="I39" s="466">
        <f>ROUND(+E39/$E$24,4)</f>
        <v>0</v>
      </c>
    </row>
    <row r="40" spans="1:10" hidden="1">
      <c r="A40" s="5" t="s">
        <v>321</v>
      </c>
      <c r="E40" s="472">
        <f>+'Ft  1to4'!F128*12</f>
        <v>0</v>
      </c>
      <c r="I40" s="1">
        <f>ROUND(+E40/$E$24,4)</f>
        <v>0</v>
      </c>
    </row>
    <row r="41" spans="1:10" hidden="1">
      <c r="A41" s="5" t="s">
        <v>287</v>
      </c>
      <c r="E41" s="472">
        <f>+'Ft  1to4'!F129*12</f>
        <v>0</v>
      </c>
      <c r="I41" s="476">
        <f>ROUND(+E41/$E$24,4)</f>
        <v>0</v>
      </c>
    </row>
    <row r="42" spans="1:10">
      <c r="A42" s="5"/>
      <c r="E42" s="473"/>
      <c r="I42" s="477"/>
    </row>
    <row r="43" spans="1:10" ht="15.75" thickBot="1">
      <c r="A43" s="5" t="s">
        <v>176</v>
      </c>
      <c r="E43" s="474">
        <f>SUM(E36:E41)</f>
        <v>168427</v>
      </c>
      <c r="I43" s="466">
        <f>SUM(I36:I41)</f>
        <v>1</v>
      </c>
    </row>
    <row r="44" spans="1:10" ht="15.75" thickTop="1">
      <c r="E44" s="42"/>
      <c r="F44" s="43"/>
      <c r="G44" s="43"/>
      <c r="H44" s="43"/>
      <c r="I44" s="42"/>
    </row>
    <row r="45" spans="1:10">
      <c r="E45" s="42"/>
      <c r="F45" s="43"/>
      <c r="G45" s="43"/>
      <c r="H45" s="43"/>
      <c r="I45" s="42"/>
    </row>
    <row r="46" spans="1:10">
      <c r="A46" s="840" t="s">
        <v>635</v>
      </c>
      <c r="B46" s="840"/>
      <c r="C46" s="840"/>
      <c r="D46" s="840"/>
      <c r="E46" s="840"/>
      <c r="F46" s="840"/>
      <c r="G46" s="840"/>
      <c r="H46" s="840"/>
      <c r="I46" s="840"/>
    </row>
    <row r="48" spans="1:10">
      <c r="A48" s="401" t="s">
        <v>170</v>
      </c>
      <c r="B48" s="401"/>
      <c r="C48" s="401"/>
      <c r="D48" s="401"/>
      <c r="E48" s="401"/>
      <c r="F48" s="401"/>
      <c r="G48" s="401"/>
      <c r="H48" s="401"/>
      <c r="I48" s="401"/>
    </row>
    <row r="51" spans="1:9">
      <c r="A51" s="25" t="s">
        <v>408</v>
      </c>
    </row>
    <row r="53" spans="1:9">
      <c r="A53" s="5" t="s">
        <v>409</v>
      </c>
    </row>
    <row r="55" spans="1:9">
      <c r="A55" s="3" t="s">
        <v>171</v>
      </c>
      <c r="B55" s="5"/>
      <c r="C55" s="399"/>
      <c r="D55" s="5"/>
      <c r="E55" s="40"/>
      <c r="F55" s="193"/>
      <c r="G55" s="285"/>
      <c r="H55" s="193"/>
      <c r="I55" s="40" t="s">
        <v>180</v>
      </c>
    </row>
    <row r="56" spans="1:9">
      <c r="A56" s="3" t="s">
        <v>172</v>
      </c>
      <c r="B56" s="5"/>
      <c r="D56" s="5"/>
      <c r="F56" s="5"/>
      <c r="H56" s="5"/>
      <c r="I56" s="399" t="s">
        <v>186</v>
      </c>
    </row>
    <row r="57" spans="1:9">
      <c r="A57" s="9" t="s">
        <v>173</v>
      </c>
      <c r="B57" s="5"/>
      <c r="C57" s="399"/>
      <c r="D57" s="5"/>
      <c r="E57" s="285"/>
      <c r="F57" s="5"/>
      <c r="G57" s="285"/>
      <c r="H57" s="5"/>
      <c r="I57" s="10" t="s">
        <v>195</v>
      </c>
    </row>
    <row r="59" spans="1:9">
      <c r="A59" s="11" t="s">
        <v>255</v>
      </c>
    </row>
    <row r="60" spans="1:9" ht="15.75" thickBot="1">
      <c r="A60" s="5" t="s">
        <v>323</v>
      </c>
      <c r="I60" s="492">
        <v>1</v>
      </c>
    </row>
    <row r="61" spans="1:9" ht="15.75" thickTop="1"/>
  </sheetData>
  <mergeCells count="3">
    <mergeCell ref="A46:I46"/>
    <mergeCell ref="A3:J3"/>
    <mergeCell ref="A1:J1"/>
  </mergeCells>
  <phoneticPr fontId="10" type="noConversion"/>
  <printOptions horizontalCentered="1"/>
  <pageMargins left="0.9" right="0.4" top="1" bottom="0.2" header="0" footer="0"/>
  <pageSetup orientation="portrait" r:id="rId1"/>
  <headerFooter alignWithMargins="0"/>
  <rowBreaks count="1" manualBreakCount="1">
    <brk id="4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Attachment SDR-COS-8.2</vt:lpstr>
      <vt:lpstr>Linkin</vt:lpstr>
      <vt:lpstr>Alloc</vt:lpstr>
      <vt:lpstr>ROR</vt:lpstr>
      <vt:lpstr>Sched.A</vt:lpstr>
      <vt:lpstr>Ft  1to4</vt:lpstr>
      <vt:lpstr>Ftr 3 &amp; 6</vt:lpstr>
      <vt:lpstr>FTR 5&amp; 5A</vt:lpstr>
      <vt:lpstr>Ft 7to9</vt:lpstr>
      <vt:lpstr>Ft 10to14</vt:lpstr>
      <vt:lpstr>Ft 15to21</vt:lpstr>
      <vt:lpstr>customer</vt:lpstr>
      <vt:lpstr>Demand</vt:lpstr>
      <vt:lpstr>checkk</vt:lpstr>
      <vt:lpstr>COMP1</vt:lpstr>
      <vt:lpstr>COMP2</vt:lpstr>
      <vt:lpstr>FACT1</vt:lpstr>
      <vt:lpstr>FACT10</vt:lpstr>
      <vt:lpstr>FACT3</vt:lpstr>
      <vt:lpstr>FACT7</vt:lpstr>
      <vt:lpstr>factors</vt:lpstr>
      <vt:lpstr>Alloc!Print_Area</vt:lpstr>
      <vt:lpstr>customer!Print_Area</vt:lpstr>
      <vt:lpstr>Demand!Print_Area</vt:lpstr>
      <vt:lpstr>'Ft  1to4'!Print_Area</vt:lpstr>
      <vt:lpstr>'Ft 10to14'!Print_Area</vt:lpstr>
      <vt:lpstr>'Ft 15to21'!Print_Area</vt:lpstr>
      <vt:lpstr>'Ft 7to9'!Print_Area</vt:lpstr>
      <vt:lpstr>'Ftr 3 &amp; 6'!Print_Area</vt:lpstr>
      <vt:lpstr>'FTR 5&amp; 5A'!Print_Area</vt:lpstr>
      <vt:lpstr>ROR!Print_Area</vt:lpstr>
      <vt:lpstr>Sched.A!Print_Area</vt:lpstr>
      <vt:lpstr>Print_Area</vt:lpstr>
      <vt:lpstr>Alloc!Print_Titles</vt:lpstr>
      <vt:lpstr>customer!Print_Titles</vt:lpstr>
      <vt:lpstr>'FTR 5&amp; 5A'!Print_Titles</vt:lpstr>
      <vt:lpstr>XHWXK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pherbert</dc:creator>
  <cp:lastModifiedBy>Sekela, Ronda</cp:lastModifiedBy>
  <cp:lastPrinted>2017-01-10T14:58:31Z</cp:lastPrinted>
  <dcterms:created xsi:type="dcterms:W3CDTF">2006-01-25T16:27:05Z</dcterms:created>
  <dcterms:modified xsi:type="dcterms:W3CDTF">2017-01-19T15:03:28Z</dcterms:modified>
</cp:coreProperties>
</file>