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H-PROJ\UGI Utilities\Gas Division\064336-2019RateCase\200-COS\6-Deliverables\Files to PUC\"/>
    </mc:Choice>
  </mc:AlternateContent>
  <xr:revisionPtr revIDLastSave="0" documentId="10_ncr:100000_{5147122F-FCEA-4050-986F-0CA866853585}" xr6:coauthVersionLast="31" xr6:coauthVersionMax="31" xr10:uidLastSave="{00000000-0000-0000-0000-000000000000}"/>
  <bookViews>
    <workbookView xWindow="0" yWindow="0" windowWidth="22740" windowHeight="9930" tabRatio="791" activeTab="5" xr2:uid="{8365C409-E7DD-4115-B9F8-B08025E53486}"/>
  </bookViews>
  <sheets>
    <sheet name="Checks" sheetId="20" r:id="rId1"/>
    <sheet name="Linkin (2)" sheetId="22" r:id="rId2"/>
    <sheet name="Linkin" sheetId="15" r:id="rId3"/>
    <sheet name="Alloc" sheetId="8" r:id="rId4"/>
    <sheet name="ROR" sheetId="11" r:id="rId5"/>
    <sheet name="Sched.A" sheetId="10" r:id="rId6"/>
    <sheet name="Ft  1to4" sheetId="1" r:id="rId7"/>
    <sheet name="Ftr 3 &amp; 6" sheetId="2" r:id="rId8"/>
    <sheet name="FTR 5&amp; 5A" sheetId="16" r:id="rId9"/>
    <sheet name="Ft 7to9" sheetId="3" r:id="rId10"/>
    <sheet name="Ft 10to14" sheetId="5" r:id="rId11"/>
    <sheet name="Ft 15to21" sheetId="6" r:id="rId12"/>
    <sheet name="customer" sheetId="7" r:id="rId13"/>
    <sheet name="Demand" sheetId="21" r:id="rId14"/>
  </sheets>
  <externalReferences>
    <externalReference r:id="rId15"/>
  </externalReferences>
  <definedNames>
    <definedName name="check" localSheetId="1">'Linkin (2)'!#REF!</definedName>
    <definedName name="check">Linkin!#REF!</definedName>
    <definedName name="checkk" localSheetId="1">'Linkin (2)'!#REF!</definedName>
    <definedName name="checkk">Linkin!$D$54</definedName>
    <definedName name="COMP1">'Ft 10to14'!$A$1:$F$115</definedName>
    <definedName name="COMP2">'Ft 15to21'!$A$1:$E$57</definedName>
    <definedName name="Deprate">[1]Deprate!$A$1:$S$187</definedName>
    <definedName name="Descriptions">[1]Descriptions!$A$1:$C$40</definedName>
    <definedName name="FACT1">'Ft  1to4'!$A$1:$L$78</definedName>
    <definedName name="FACT10">'Ft 15to21'!$A$1:$E$22</definedName>
    <definedName name="FACT2" localSheetId="1">'Ftr 3 &amp; 6'!#REF!</definedName>
    <definedName name="FACT2">'Ftr 3 &amp; 6'!#REF!</definedName>
    <definedName name="FACT3">'Ft 7to9'!$A$1:$J$5</definedName>
    <definedName name="FACT7">'Ft 10to14'!$A$1:$E$83</definedName>
    <definedName name="factor" localSheetId="1">'Ftr 3 &amp; 6'!#REF!</definedName>
    <definedName name="factor">'Ftr 3 &amp; 6'!#REF!</definedName>
    <definedName name="factors">Alloc!$J$378:$AG$419</definedName>
    <definedName name="_xlnm.Print_Area" localSheetId="3">Alloc!$C$265:$AG$373</definedName>
    <definedName name="_xlnm.Print_Area" localSheetId="12">customer!$A$9:$Q$84</definedName>
    <definedName name="_xlnm.Print_Area" localSheetId="13">Demand!$B$2:$H$24</definedName>
    <definedName name="_xlnm.Print_Area" localSheetId="6">'Ft  1to4'!$O$28:$Z$77</definedName>
    <definedName name="_xlnm.Print_Area" localSheetId="10">'Ft 10to14'!$A$1:$E$135</definedName>
    <definedName name="_xlnm.Print_Area" localSheetId="11">'Ft 15to21'!$A$58:$E$137</definedName>
    <definedName name="_xlnm.Print_Area" localSheetId="9">'Ft 7to9'!$A$46:$I$62</definedName>
    <definedName name="_xlnm.Print_Area" localSheetId="7">'Ftr 3 &amp; 6'!$A$86:$J$125</definedName>
    <definedName name="_xlnm.Print_Area" localSheetId="8">'FTR 5&amp; 5A'!$A$1:$N$26</definedName>
    <definedName name="_xlnm.Print_Area" localSheetId="4">ROR!$A$7:$P$41</definedName>
    <definedName name="_xlnm.Print_Area" localSheetId="5">Sched.A!$A$5:$R$34</definedName>
    <definedName name="_xlnm.Print_Area">'Ft  1to4'!$B$78:$N$95</definedName>
    <definedName name="_xlnm.Print_Titles" localSheetId="3">Alloc!$3:$13</definedName>
    <definedName name="_xlnm.Print_Titles" localSheetId="12">customer!$1:$8</definedName>
    <definedName name="_xlnm.Print_Titles" localSheetId="8">'FTR 5&amp; 5A'!$1:$3</definedName>
    <definedName name="XHWXK">Alloc!$B$212</definedName>
    <definedName name="Year">[1]Descriptions!$L$1</definedName>
  </definedNames>
  <calcPr calcId="179017"/>
</workbook>
</file>

<file path=xl/calcChain.xml><?xml version="1.0" encoding="utf-8"?>
<calcChain xmlns="http://schemas.openxmlformats.org/spreadsheetml/2006/main">
  <c r="I114" i="8" l="1"/>
  <c r="A4" i="10" l="1"/>
  <c r="A3" i="10"/>
  <c r="Q49" i="1" l="1"/>
  <c r="W122" i="8" l="1"/>
  <c r="AI122" i="8" s="1"/>
  <c r="D23" i="16"/>
  <c r="J334" i="8" l="1"/>
  <c r="L334" i="8"/>
  <c r="N334" i="8"/>
  <c r="P334" i="8"/>
  <c r="R334" i="8"/>
  <c r="T334" i="8"/>
  <c r="V334" i="8"/>
  <c r="X334" i="8"/>
  <c r="Z334" i="8"/>
  <c r="AB334" i="8"/>
  <c r="AD334" i="8"/>
  <c r="AF334" i="8"/>
  <c r="AI333" i="8"/>
  <c r="K102" i="8" l="1"/>
  <c r="L406" i="8" l="1"/>
  <c r="N406" i="8"/>
  <c r="P406" i="8"/>
  <c r="R406" i="8"/>
  <c r="T406" i="8"/>
  <c r="V406" i="8"/>
  <c r="X406" i="8"/>
  <c r="Z406" i="8"/>
  <c r="AB406" i="8"/>
  <c r="AD406" i="8"/>
  <c r="AF406" i="8"/>
  <c r="I368" i="8" l="1"/>
  <c r="I367" i="8"/>
  <c r="I365" i="8"/>
  <c r="I366" i="8"/>
  <c r="I364" i="8" l="1"/>
  <c r="I363" i="8"/>
  <c r="X106" i="22" l="1"/>
  <c r="Y66" i="22"/>
  <c r="W166" i="22" l="1"/>
  <c r="I229" i="8" l="1"/>
  <c r="I40" i="15" l="1"/>
  <c r="H40" i="15"/>
  <c r="E103" i="2" l="1"/>
  <c r="E104" i="2"/>
  <c r="E105" i="2"/>
  <c r="E102" i="2"/>
  <c r="N119" i="2" l="1"/>
  <c r="N61" i="2" l="1"/>
  <c r="N118" i="2"/>
  <c r="N64" i="2"/>
  <c r="N121" i="2"/>
  <c r="N65" i="2"/>
  <c r="N122" i="2"/>
  <c r="N63" i="2"/>
  <c r="N102" i="2" s="1"/>
  <c r="P102" i="2" s="1"/>
  <c r="N120" i="2"/>
  <c r="N66" i="2"/>
  <c r="N123" i="2"/>
  <c r="N62" i="2"/>
  <c r="Y112" i="22"/>
  <c r="Y101" i="22"/>
  <c r="Y100" i="22"/>
  <c r="Y105" i="22"/>
  <c r="Y104" i="22"/>
  <c r="Y103" i="22"/>
  <c r="Y102" i="22"/>
  <c r="Y99" i="22"/>
  <c r="Y93" i="22"/>
  <c r="Y89" i="22"/>
  <c r="Y45" i="22"/>
  <c r="Y46" i="22"/>
  <c r="Y47" i="22"/>
  <c r="Y50" i="22"/>
  <c r="Y51" i="22"/>
  <c r="Y52" i="22"/>
  <c r="Y58" i="22"/>
  <c r="Y59" i="22"/>
  <c r="Y60" i="22"/>
  <c r="Y62" i="22"/>
  <c r="Y61" i="22"/>
  <c r="Y57" i="22"/>
  <c r="Y56" i="22"/>
  <c r="Y55" i="22"/>
  <c r="Y54" i="22"/>
  <c r="Y53" i="22"/>
  <c r="Y49" i="22"/>
  <c r="Y48" i="22"/>
  <c r="Y44" i="22"/>
  <c r="Y43" i="22"/>
  <c r="Y42" i="22"/>
  <c r="Y28" i="22"/>
  <c r="Y29" i="22" s="1"/>
  <c r="Y35" i="22"/>
  <c r="Y36" i="22"/>
  <c r="Y38" i="22"/>
  <c r="Y37" i="22"/>
  <c r="Y34" i="22"/>
  <c r="Y33" i="22"/>
  <c r="X39" i="22"/>
  <c r="X29" i="22"/>
  <c r="Y14" i="22"/>
  <c r="Y24" i="22"/>
  <c r="Y23" i="22"/>
  <c r="Y22" i="22"/>
  <c r="Y21" i="22"/>
  <c r="Y20" i="22"/>
  <c r="Y19" i="22"/>
  <c r="Y18" i="22"/>
  <c r="Y17" i="22"/>
  <c r="Y16" i="22"/>
  <c r="Y15" i="22"/>
  <c r="B238" i="8"/>
  <c r="Y63" i="22" l="1"/>
  <c r="Y106" i="22"/>
  <c r="Y25" i="22"/>
  <c r="Y110" i="22"/>
  <c r="Y32" i="22"/>
  <c r="Y39" i="22" s="1"/>
  <c r="X63" i="22"/>
  <c r="X25" i="22"/>
  <c r="X110" i="22"/>
  <c r="Y108" i="22" l="1"/>
  <c r="Y114" i="22" s="1"/>
  <c r="A232" i="8" s="1"/>
  <c r="X108" i="22"/>
  <c r="I254" i="8" l="1"/>
  <c r="W144" i="22" l="1"/>
  <c r="W98" i="22"/>
  <c r="Z99" i="22"/>
  <c r="Z100" i="22"/>
  <c r="Z101" i="22"/>
  <c r="Z102" i="22"/>
  <c r="Z103" i="22"/>
  <c r="Z104" i="22"/>
  <c r="I331" i="8"/>
  <c r="W102" i="22"/>
  <c r="W104" i="22"/>
  <c r="W99" i="22"/>
  <c r="W105" i="22" l="1"/>
  <c r="Z105" i="22"/>
  <c r="I324" i="8"/>
  <c r="W101" i="22"/>
  <c r="W100" i="22"/>
  <c r="W103" i="22"/>
  <c r="W90" i="22"/>
  <c r="W91" i="22"/>
  <c r="W92" i="22"/>
  <c r="V82" i="22"/>
  <c r="I123" i="15" l="1"/>
  <c r="I122" i="15"/>
  <c r="H123" i="15"/>
  <c r="H122" i="15"/>
  <c r="I107" i="15"/>
  <c r="I108" i="15"/>
  <c r="I464" i="8" s="1"/>
  <c r="I109" i="15"/>
  <c r="I465" i="8" s="1"/>
  <c r="I110" i="15"/>
  <c r="I466" i="8" s="1"/>
  <c r="I111" i="15"/>
  <c r="I467" i="8" s="1"/>
  <c r="I112" i="15"/>
  <c r="I113" i="15"/>
  <c r="I468" i="8" s="1"/>
  <c r="I114" i="15"/>
  <c r="I469" i="8" s="1"/>
  <c r="I115" i="15"/>
  <c r="I470" i="8" s="1"/>
  <c r="I116" i="15"/>
  <c r="I471" i="8" s="1"/>
  <c r="I117" i="15"/>
  <c r="I472" i="8" s="1"/>
  <c r="I118" i="15"/>
  <c r="I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I142" i="8" s="1"/>
  <c r="H106" i="15"/>
  <c r="I9" i="15"/>
  <c r="I97" i="15"/>
  <c r="I98" i="15"/>
  <c r="I99" i="15"/>
  <c r="I100" i="15"/>
  <c r="I101" i="15"/>
  <c r="I96" i="15"/>
  <c r="H97" i="15"/>
  <c r="H98" i="15"/>
  <c r="H99" i="15"/>
  <c r="H100" i="15"/>
  <c r="H101" i="15"/>
  <c r="H96" i="15"/>
  <c r="I90" i="15"/>
  <c r="I91" i="15"/>
  <c r="I92" i="15"/>
  <c r="I89" i="15"/>
  <c r="H90" i="15"/>
  <c r="H91" i="15"/>
  <c r="H92" i="15"/>
  <c r="H89" i="15"/>
  <c r="I82" i="15"/>
  <c r="I83" i="15"/>
  <c r="I84" i="15"/>
  <c r="I85" i="15"/>
  <c r="I81" i="15"/>
  <c r="H82" i="15"/>
  <c r="H83" i="15"/>
  <c r="H84" i="15"/>
  <c r="H85" i="15"/>
  <c r="H81" i="15"/>
  <c r="I66" i="15"/>
  <c r="I67" i="15"/>
  <c r="I68" i="15"/>
  <c r="I69" i="15"/>
  <c r="I70" i="15"/>
  <c r="I71" i="15"/>
  <c r="I72" i="15"/>
  <c r="I73" i="15"/>
  <c r="I74" i="15"/>
  <c r="I75" i="15"/>
  <c r="I65" i="15"/>
  <c r="H66" i="15"/>
  <c r="H67" i="15"/>
  <c r="H68" i="15"/>
  <c r="H69" i="15"/>
  <c r="H70" i="15"/>
  <c r="H71" i="15"/>
  <c r="H72" i="15"/>
  <c r="H73" i="15"/>
  <c r="H74" i="15"/>
  <c r="H75" i="15"/>
  <c r="H65" i="15"/>
  <c r="I51" i="15"/>
  <c r="I52" i="15"/>
  <c r="I53" i="15"/>
  <c r="I54" i="15"/>
  <c r="I55" i="15"/>
  <c r="I56" i="15"/>
  <c r="I57" i="15"/>
  <c r="I58" i="15"/>
  <c r="I59" i="15"/>
  <c r="I60" i="15"/>
  <c r="I61" i="15"/>
  <c r="I50" i="15"/>
  <c r="H51" i="15"/>
  <c r="H52" i="15"/>
  <c r="H53" i="15"/>
  <c r="H54" i="15"/>
  <c r="H55" i="15"/>
  <c r="H56" i="15"/>
  <c r="H57" i="15"/>
  <c r="H58" i="15"/>
  <c r="H59" i="15"/>
  <c r="H60" i="15"/>
  <c r="H61" i="15"/>
  <c r="H50" i="15"/>
  <c r="I46" i="15"/>
  <c r="I45" i="15"/>
  <c r="H46" i="15"/>
  <c r="H45" i="15"/>
  <c r="I42" i="15"/>
  <c r="I41" i="15"/>
  <c r="H42" i="15"/>
  <c r="H41" i="15"/>
  <c r="B47" i="8"/>
  <c r="I47" i="8" s="1"/>
  <c r="H136" i="15" l="1"/>
  <c r="H135" i="15"/>
  <c r="H134" i="15"/>
  <c r="H133" i="15"/>
  <c r="H132" i="15"/>
  <c r="H131" i="15"/>
  <c r="H130" i="15"/>
  <c r="I23" i="15"/>
  <c r="I24" i="15"/>
  <c r="I25" i="15"/>
  <c r="I26" i="15"/>
  <c r="I27" i="15"/>
  <c r="I28" i="15"/>
  <c r="I29" i="15"/>
  <c r="I30" i="15"/>
  <c r="I31" i="15"/>
  <c r="I32" i="15"/>
  <c r="I425" i="8" s="1"/>
  <c r="I22" i="15"/>
  <c r="H23" i="15"/>
  <c r="H24" i="15"/>
  <c r="H25" i="15"/>
  <c r="I37" i="8" s="1"/>
  <c r="W37" i="8" s="1"/>
  <c r="H26" i="15"/>
  <c r="H27" i="15"/>
  <c r="H28" i="15"/>
  <c r="H29" i="15"/>
  <c r="H30" i="15"/>
  <c r="H31" i="15"/>
  <c r="H32" i="15"/>
  <c r="I41" i="8" s="1"/>
  <c r="H22" i="15"/>
  <c r="I16" i="15"/>
  <c r="I424" i="8" s="1"/>
  <c r="I17" i="15"/>
  <c r="I18" i="15"/>
  <c r="I15" i="15"/>
  <c r="I423" i="8" s="1"/>
  <c r="H18" i="15"/>
  <c r="H17" i="15"/>
  <c r="H16" i="15"/>
  <c r="H15" i="15"/>
  <c r="I11" i="15"/>
  <c r="I10" i="15"/>
  <c r="I422" i="8" s="1"/>
  <c r="I8" i="15"/>
  <c r="I7" i="15"/>
  <c r="H8" i="15"/>
  <c r="H7" i="15"/>
  <c r="H11" i="15"/>
  <c r="H10" i="15"/>
  <c r="W422" i="8" l="1"/>
  <c r="W425" i="8"/>
  <c r="O124" i="2"/>
  <c r="AI169" i="8" l="1"/>
  <c r="AI170" i="8"/>
  <c r="AI172" i="8"/>
  <c r="AI173" i="8"/>
  <c r="AI182" i="8"/>
  <c r="AI183" i="8"/>
  <c r="W153" i="22"/>
  <c r="W155" i="22"/>
  <c r="U147" i="22"/>
  <c r="V147" i="22"/>
  <c r="U137" i="22"/>
  <c r="V137" i="22"/>
  <c r="T87" i="22"/>
  <c r="V87" i="22"/>
  <c r="M174" i="22" l="1"/>
  <c r="I225" i="8" s="1"/>
  <c r="M172" i="22"/>
  <c r="O172" i="22" s="1"/>
  <c r="I346" i="8" s="1"/>
  <c r="I347" i="8" s="1"/>
  <c r="W94" i="22"/>
  <c r="W95" i="22"/>
  <c r="W96" i="22"/>
  <c r="W97" i="22"/>
  <c r="W93" i="22"/>
  <c r="I207" i="8" s="1"/>
  <c r="W28" i="22"/>
  <c r="V63" i="22" l="1"/>
  <c r="V29" i="22"/>
  <c r="V25" i="22"/>
  <c r="V106" i="22"/>
  <c r="I171" i="8"/>
  <c r="W29" i="22"/>
  <c r="V39" i="22"/>
  <c r="V108" i="22" s="1"/>
  <c r="V158" i="22" s="1"/>
  <c r="V111" i="22" l="1"/>
  <c r="W171" i="8"/>
  <c r="AI282" i="8"/>
  <c r="AI283" i="8"/>
  <c r="AI285" i="8"/>
  <c r="AI286" i="8"/>
  <c r="AI296" i="8"/>
  <c r="AI297" i="8"/>
  <c r="W154" i="22"/>
  <c r="I230" i="8" s="1"/>
  <c r="W152" i="22"/>
  <c r="W146" i="22"/>
  <c r="W145" i="22"/>
  <c r="W143" i="22"/>
  <c r="W142" i="22"/>
  <c r="I341" i="8"/>
  <c r="W135" i="22"/>
  <c r="W133" i="22"/>
  <c r="W132" i="22"/>
  <c r="I218" i="8" s="1"/>
  <c r="W131" i="22"/>
  <c r="I338" i="8"/>
  <c r="W130" i="22"/>
  <c r="I337" i="8"/>
  <c r="I299" i="8"/>
  <c r="I298" i="8"/>
  <c r="I287" i="8"/>
  <c r="W287" i="8" s="1"/>
  <c r="I272" i="8"/>
  <c r="W272" i="8" s="1"/>
  <c r="I269" i="8"/>
  <c r="W269" i="8" s="1"/>
  <c r="I355" i="8"/>
  <c r="I354" i="8"/>
  <c r="I214" i="8"/>
  <c r="I213" i="8"/>
  <c r="I329" i="8"/>
  <c r="I328" i="8"/>
  <c r="I210" i="8"/>
  <c r="I327" i="8"/>
  <c r="I209" i="8"/>
  <c r="I208" i="8"/>
  <c r="I325" i="8"/>
  <c r="W86" i="22"/>
  <c r="W85" i="22"/>
  <c r="W62" i="22"/>
  <c r="I200" i="8" s="1"/>
  <c r="I315" i="8"/>
  <c r="W59" i="22"/>
  <c r="W58" i="22"/>
  <c r="Z56" i="22"/>
  <c r="I313" i="8"/>
  <c r="I312" i="8"/>
  <c r="I308" i="8"/>
  <c r="I307" i="8"/>
  <c r="I305" i="8"/>
  <c r="W47" i="22"/>
  <c r="W46" i="22"/>
  <c r="I301" i="8"/>
  <c r="W42" i="22"/>
  <c r="I300" i="8"/>
  <c r="W38" i="22"/>
  <c r="I180" i="8" s="1"/>
  <c r="I294" i="8"/>
  <c r="W294" i="8" s="1"/>
  <c r="W37" i="22"/>
  <c r="I179" i="8" s="1"/>
  <c r="W36" i="22"/>
  <c r="I178" i="8" s="1"/>
  <c r="I292" i="8"/>
  <c r="W292" i="8" s="1"/>
  <c r="W35" i="22"/>
  <c r="I177" i="8" s="1"/>
  <c r="I291" i="8"/>
  <c r="W291" i="8" s="1"/>
  <c r="I290" i="8"/>
  <c r="W290" i="8" s="1"/>
  <c r="I289" i="8"/>
  <c r="W289" i="8" s="1"/>
  <c r="W32" i="22"/>
  <c r="I288" i="8"/>
  <c r="W288" i="8" s="1"/>
  <c r="I268" i="8"/>
  <c r="W268" i="8" s="1"/>
  <c r="W14" i="22"/>
  <c r="W15" i="22"/>
  <c r="I158" i="8" s="1"/>
  <c r="I271" i="8"/>
  <c r="W271" i="8" s="1"/>
  <c r="W16" i="22"/>
  <c r="I159" i="8" s="1"/>
  <c r="I273" i="8"/>
  <c r="W273" i="8" s="1"/>
  <c r="I274" i="8"/>
  <c r="W274" i="8" s="1"/>
  <c r="I275" i="8"/>
  <c r="W275" i="8" s="1"/>
  <c r="W19" i="22"/>
  <c r="I162" i="8" s="1"/>
  <c r="I276" i="8"/>
  <c r="W276" i="8" s="1"/>
  <c r="I277" i="8"/>
  <c r="W277" i="8" s="1"/>
  <c r="W21" i="22"/>
  <c r="I164" i="8" s="1"/>
  <c r="I278" i="8"/>
  <c r="W278" i="8" s="1"/>
  <c r="W22" i="22"/>
  <c r="I165" i="8" s="1"/>
  <c r="I279" i="8"/>
  <c r="W279" i="8" s="1"/>
  <c r="W23" i="22"/>
  <c r="I166" i="8" s="1"/>
  <c r="I280" i="8"/>
  <c r="W280" i="8" s="1"/>
  <c r="U105" i="22"/>
  <c r="U96" i="22"/>
  <c r="U90" i="22"/>
  <c r="U77" i="22"/>
  <c r="S29" i="22"/>
  <c r="U29" i="22" s="1"/>
  <c r="Q29" i="22"/>
  <c r="M29" i="22"/>
  <c r="K29" i="22"/>
  <c r="U28" i="22"/>
  <c r="Q28" i="22"/>
  <c r="O29" i="22"/>
  <c r="W54" i="22" l="1"/>
  <c r="I195" i="8" s="1"/>
  <c r="Z54" i="22"/>
  <c r="W43" i="22"/>
  <c r="I186" i="8" s="1"/>
  <c r="Z43" i="22"/>
  <c r="W48" i="22"/>
  <c r="I190" i="8" s="1"/>
  <c r="Z48" i="22"/>
  <c r="W53" i="22"/>
  <c r="I194" i="8" s="1"/>
  <c r="Z53" i="22"/>
  <c r="Z62" i="22"/>
  <c r="W134" i="22"/>
  <c r="Z92" i="22"/>
  <c r="W51" i="22"/>
  <c r="Z52" i="22"/>
  <c r="W50" i="22"/>
  <c r="I192" i="8" s="1"/>
  <c r="Z50" i="22"/>
  <c r="W55" i="22"/>
  <c r="I196" i="8" s="1"/>
  <c r="Z55" i="22"/>
  <c r="W136" i="22"/>
  <c r="I220" i="8" s="1"/>
  <c r="Z98" i="22"/>
  <c r="Z47" i="22"/>
  <c r="W49" i="22"/>
  <c r="I191" i="8" s="1"/>
  <c r="Z49" i="22"/>
  <c r="Z60" i="22"/>
  <c r="A47" i="22"/>
  <c r="B306" i="8" s="1"/>
  <c r="A48" i="22"/>
  <c r="I314" i="8"/>
  <c r="U19" i="22"/>
  <c r="U38" i="22"/>
  <c r="I219" i="8"/>
  <c r="U69" i="22"/>
  <c r="U49" i="22"/>
  <c r="I284" i="8"/>
  <c r="W284" i="8" s="1"/>
  <c r="O87" i="22"/>
  <c r="W87" i="22"/>
  <c r="I321" i="8"/>
  <c r="M87" i="22"/>
  <c r="I356" i="8"/>
  <c r="U75" i="22"/>
  <c r="U23" i="22"/>
  <c r="U53" i="22"/>
  <c r="U67" i="22"/>
  <c r="U48" i="22"/>
  <c r="I310" i="8"/>
  <c r="U92" i="22"/>
  <c r="M156" i="22"/>
  <c r="I339" i="8"/>
  <c r="U15" i="22"/>
  <c r="I309" i="8"/>
  <c r="I345" i="8"/>
  <c r="S156" i="22"/>
  <c r="U37" i="22"/>
  <c r="I340" i="8"/>
  <c r="U99" i="22"/>
  <c r="U73" i="22"/>
  <c r="U81" i="22"/>
  <c r="U86" i="22"/>
  <c r="M25" i="22"/>
  <c r="K87" i="22"/>
  <c r="U71" i="22"/>
  <c r="U79" i="22"/>
  <c r="W177" i="8"/>
  <c r="I185" i="8"/>
  <c r="S39" i="22"/>
  <c r="W33" i="22"/>
  <c r="I175" i="8" s="1"/>
  <c r="W179" i="8"/>
  <c r="U44" i="22"/>
  <c r="W44" i="22"/>
  <c r="U46" i="22"/>
  <c r="U52" i="22"/>
  <c r="W52" i="22"/>
  <c r="I193" i="8" s="1"/>
  <c r="U54" i="22"/>
  <c r="U56" i="22"/>
  <c r="W56" i="22"/>
  <c r="I197" i="8" s="1"/>
  <c r="U60" i="22"/>
  <c r="W60" i="22"/>
  <c r="U62" i="22"/>
  <c r="U89" i="22"/>
  <c r="W89" i="22"/>
  <c r="I206" i="8" s="1"/>
  <c r="U91" i="22"/>
  <c r="U93" i="22"/>
  <c r="U95" i="22"/>
  <c r="U97" i="22"/>
  <c r="U100" i="22"/>
  <c r="U102" i="22"/>
  <c r="I211" i="8"/>
  <c r="U104" i="22"/>
  <c r="K123" i="22"/>
  <c r="W137" i="22"/>
  <c r="W139" i="22" s="1"/>
  <c r="M147" i="22"/>
  <c r="K156" i="22"/>
  <c r="I270" i="8"/>
  <c r="W270" i="8" s="1"/>
  <c r="W281" i="8" s="1"/>
  <c r="U42" i="22"/>
  <c r="U58" i="22"/>
  <c r="S87" i="22"/>
  <c r="U34" i="22"/>
  <c r="W34" i="22"/>
  <c r="I176" i="8" s="1"/>
  <c r="W180" i="8"/>
  <c r="U45" i="22"/>
  <c r="W45" i="22"/>
  <c r="U57" i="22"/>
  <c r="W57" i="22"/>
  <c r="U61" i="22"/>
  <c r="W61" i="22"/>
  <c r="I199" i="8" s="1"/>
  <c r="U94" i="22"/>
  <c r="U103" i="22"/>
  <c r="I212" i="8"/>
  <c r="I293" i="8"/>
  <c r="W293" i="8" s="1"/>
  <c r="W295" i="8" s="1"/>
  <c r="U85" i="22"/>
  <c r="U24" i="22"/>
  <c r="W24" i="22"/>
  <c r="I167" i="8" s="1"/>
  <c r="W166" i="8"/>
  <c r="W165" i="8"/>
  <c r="W164" i="8"/>
  <c r="U20" i="22"/>
  <c r="W20" i="22"/>
  <c r="I163" i="8" s="1"/>
  <c r="W162" i="8"/>
  <c r="U18" i="22"/>
  <c r="W18" i="22"/>
  <c r="I161" i="8" s="1"/>
  <c r="U17" i="22"/>
  <c r="W17" i="22"/>
  <c r="I160" i="8" s="1"/>
  <c r="W159" i="8"/>
  <c r="W158" i="8"/>
  <c r="I157" i="8"/>
  <c r="I174" i="8"/>
  <c r="W178" i="8"/>
  <c r="W147" i="22"/>
  <c r="W299" i="8"/>
  <c r="I323" i="8"/>
  <c r="U33" i="22"/>
  <c r="U50" i="22"/>
  <c r="U101" i="22"/>
  <c r="O39" i="22"/>
  <c r="M39" i="22"/>
  <c r="U35" i="22"/>
  <c r="U68" i="22"/>
  <c r="M82" i="22"/>
  <c r="K82" i="22"/>
  <c r="K106" i="22" s="1"/>
  <c r="S82" i="22"/>
  <c r="U72" i="22"/>
  <c r="U74" i="22"/>
  <c r="U76" i="22"/>
  <c r="U78" i="22"/>
  <c r="U80" i="22"/>
  <c r="O156" i="22"/>
  <c r="I311" i="8"/>
  <c r="I316" i="8"/>
  <c r="I353" i="8"/>
  <c r="I326" i="8"/>
  <c r="I330" i="8"/>
  <c r="K137" i="22"/>
  <c r="O63" i="22"/>
  <c r="U22" i="22"/>
  <c r="U21" i="22"/>
  <c r="U16" i="22"/>
  <c r="S25" i="22"/>
  <c r="K39" i="22"/>
  <c r="Q39" i="22" s="1"/>
  <c r="U32" i="22"/>
  <c r="U36" i="22"/>
  <c r="M63" i="22"/>
  <c r="K63" i="22"/>
  <c r="U43" i="22"/>
  <c r="U47" i="22"/>
  <c r="U51" i="22"/>
  <c r="U55" i="22"/>
  <c r="U59" i="22"/>
  <c r="O137" i="22"/>
  <c r="M137" i="22"/>
  <c r="S137" i="22"/>
  <c r="K147" i="22"/>
  <c r="S147" i="22"/>
  <c r="O147" i="22"/>
  <c r="U70" i="22"/>
  <c r="S63" i="22"/>
  <c r="U14" i="22"/>
  <c r="K25" i="22"/>
  <c r="O25" i="22"/>
  <c r="O82" i="22"/>
  <c r="U87" i="22" l="1"/>
  <c r="AB47" i="22"/>
  <c r="W82" i="22"/>
  <c r="Z87" i="22"/>
  <c r="Z106" i="22" s="1"/>
  <c r="Z63" i="22"/>
  <c r="A49" i="22"/>
  <c r="AA47" i="22"/>
  <c r="U189" i="8" s="1"/>
  <c r="Q87" i="22"/>
  <c r="A302" i="8"/>
  <c r="A303" i="8"/>
  <c r="M106" i="22"/>
  <c r="W39" i="22"/>
  <c r="I295" i="8"/>
  <c r="Q147" i="22"/>
  <c r="I348" i="8"/>
  <c r="A348" i="8" s="1"/>
  <c r="I198" i="8"/>
  <c r="K108" i="22"/>
  <c r="K158" i="22" s="1"/>
  <c r="K162" i="22" s="1"/>
  <c r="Q63" i="22"/>
  <c r="Q82" i="22"/>
  <c r="W63" i="22"/>
  <c r="B201" i="8" s="1"/>
  <c r="U25" i="22"/>
  <c r="W185" i="8"/>
  <c r="S106" i="22"/>
  <c r="U39" i="22"/>
  <c r="M108" i="22"/>
  <c r="M158" i="22" s="1"/>
  <c r="M162" i="22" s="1"/>
  <c r="W25" i="22"/>
  <c r="W160" i="8"/>
  <c r="W161" i="8"/>
  <c r="W163" i="8"/>
  <c r="W167" i="8"/>
  <c r="W176" i="8"/>
  <c r="U63" i="22"/>
  <c r="W175" i="8"/>
  <c r="I281" i="8"/>
  <c r="I224" i="8"/>
  <c r="W149" i="22"/>
  <c r="I181" i="8"/>
  <c r="W174" i="8"/>
  <c r="I168" i="8"/>
  <c r="W157" i="8"/>
  <c r="Q25" i="22"/>
  <c r="U82" i="22"/>
  <c r="I322" i="8"/>
  <c r="Q137" i="22"/>
  <c r="O106" i="22"/>
  <c r="U106" i="22" l="1"/>
  <c r="Q106" i="22"/>
  <c r="S168" i="22"/>
  <c r="I304" i="8"/>
  <c r="U304" i="8"/>
  <c r="W106" i="22"/>
  <c r="W108" i="22" s="1"/>
  <c r="I205" i="8"/>
  <c r="I303" i="8"/>
  <c r="W156" i="22"/>
  <c r="I302" i="8"/>
  <c r="A305" i="8"/>
  <c r="A189" i="8"/>
  <c r="I189" i="8" s="1"/>
  <c r="A188" i="8"/>
  <c r="I188" i="8" s="1"/>
  <c r="A187" i="8"/>
  <c r="K125" i="22"/>
  <c r="W168" i="8"/>
  <c r="U108" i="22"/>
  <c r="W181" i="8"/>
  <c r="S108" i="22"/>
  <c r="Q108" i="22" s="1"/>
  <c r="O108" i="22"/>
  <c r="I101" i="8"/>
  <c r="W158" i="22" l="1"/>
  <c r="X158" i="22" s="1"/>
  <c r="Y166" i="22" s="1"/>
  <c r="B305" i="8"/>
  <c r="W165" i="22"/>
  <c r="W168" i="22" s="1"/>
  <c r="I187" i="8"/>
  <c r="A191" i="8"/>
  <c r="S158" i="22"/>
  <c r="S162" i="22" s="1"/>
  <c r="O158" i="22"/>
  <c r="O162" i="22" s="1"/>
  <c r="O167" i="22" s="1"/>
  <c r="L410" i="8"/>
  <c r="N410" i="8"/>
  <c r="P410" i="8"/>
  <c r="R410" i="8"/>
  <c r="T410" i="8"/>
  <c r="V410" i="8"/>
  <c r="X410" i="8"/>
  <c r="Z410" i="8"/>
  <c r="AB410" i="8"/>
  <c r="AD410" i="8"/>
  <c r="AF410" i="8"/>
  <c r="L408" i="8"/>
  <c r="N408" i="8"/>
  <c r="P408" i="8"/>
  <c r="R408" i="8"/>
  <c r="T408" i="8"/>
  <c r="V408" i="8"/>
  <c r="X408" i="8"/>
  <c r="Z408" i="8"/>
  <c r="AB408" i="8"/>
  <c r="AD408" i="8"/>
  <c r="AF408" i="8"/>
  <c r="L402" i="8"/>
  <c r="N402" i="8"/>
  <c r="P402" i="8"/>
  <c r="R402" i="8"/>
  <c r="T402" i="8"/>
  <c r="V402" i="8"/>
  <c r="X402" i="8"/>
  <c r="Z402" i="8"/>
  <c r="AB402" i="8"/>
  <c r="AD402" i="8"/>
  <c r="AF402" i="8"/>
  <c r="L400" i="8"/>
  <c r="N400" i="8"/>
  <c r="P400" i="8"/>
  <c r="R400" i="8"/>
  <c r="T400" i="8"/>
  <c r="V400" i="8"/>
  <c r="X400" i="8"/>
  <c r="Z400" i="8"/>
  <c r="AB400" i="8"/>
  <c r="AD400" i="8"/>
  <c r="AF400" i="8"/>
  <c r="H114" i="10" l="1"/>
  <c r="I30" i="7" l="1"/>
  <c r="K30" i="7"/>
  <c r="M30" i="7"/>
  <c r="O30" i="7"/>
  <c r="P30" i="7"/>
  <c r="Q30" i="7"/>
  <c r="I38" i="7"/>
  <c r="O38" i="7"/>
  <c r="P38" i="7"/>
  <c r="Q38" i="7"/>
  <c r="M38" i="7"/>
  <c r="K38" i="7"/>
  <c r="AI102" i="8"/>
  <c r="G38" i="7" l="1"/>
  <c r="E38" i="7" s="1"/>
  <c r="G30" i="7"/>
  <c r="E30" i="7" s="1"/>
  <c r="R122" i="2" l="1"/>
  <c r="G426" i="8" l="1"/>
  <c r="G456" i="8"/>
  <c r="N100" i="1" l="1"/>
  <c r="I23" i="8" l="1"/>
  <c r="I103" i="8"/>
  <c r="I257" i="8"/>
  <c r="I35" i="8"/>
  <c r="I36" i="8"/>
  <c r="I38" i="8"/>
  <c r="I39" i="8"/>
  <c r="I40" i="8"/>
  <c r="I20" i="8"/>
  <c r="I22" i="8"/>
  <c r="I27" i="8"/>
  <c r="I28" i="8"/>
  <c r="I30" i="8"/>
  <c r="I146" i="8"/>
  <c r="I147" i="8"/>
  <c r="I130" i="8"/>
  <c r="I131" i="8"/>
  <c r="I134" i="8"/>
  <c r="I135" i="8"/>
  <c r="I136" i="8"/>
  <c r="I138" i="8"/>
  <c r="I140" i="8"/>
  <c r="I141" i="8"/>
  <c r="I120" i="8"/>
  <c r="Q120" i="8" s="1"/>
  <c r="I121" i="8"/>
  <c r="I124" i="8"/>
  <c r="I111" i="8"/>
  <c r="O111" i="8" s="1"/>
  <c r="I112" i="8"/>
  <c r="I99" i="8"/>
  <c r="I104" i="8"/>
  <c r="I80" i="8"/>
  <c r="I84" i="8"/>
  <c r="AI84" i="8" s="1"/>
  <c r="I85" i="8"/>
  <c r="I86" i="8"/>
  <c r="I87" i="8"/>
  <c r="I88" i="8"/>
  <c r="U88" i="8" s="1"/>
  <c r="I89" i="8"/>
  <c r="I90" i="8"/>
  <c r="I91" i="8"/>
  <c r="I62" i="8"/>
  <c r="I63" i="8"/>
  <c r="I64" i="8"/>
  <c r="I65" i="8"/>
  <c r="A66" i="8"/>
  <c r="I70" i="8"/>
  <c r="I71" i="8"/>
  <c r="K71" i="8" s="1"/>
  <c r="I72" i="8"/>
  <c r="I73" i="8"/>
  <c r="Q73" i="8" s="1"/>
  <c r="I74" i="8"/>
  <c r="I75" i="8"/>
  <c r="I76" i="8"/>
  <c r="I49" i="8"/>
  <c r="I55" i="8"/>
  <c r="I236" i="8"/>
  <c r="I237" i="8"/>
  <c r="I239" i="8"/>
  <c r="I240" i="8"/>
  <c r="I248" i="8"/>
  <c r="I246" i="8"/>
  <c r="E18" i="2"/>
  <c r="G40" i="2" s="1"/>
  <c r="E19" i="2"/>
  <c r="G41" i="2" s="1"/>
  <c r="D76" i="11"/>
  <c r="E20" i="2"/>
  <c r="G42" i="2" s="1"/>
  <c r="E22" i="2"/>
  <c r="E18" i="3"/>
  <c r="M88" i="1"/>
  <c r="R19" i="1"/>
  <c r="R20" i="1"/>
  <c r="R21" i="1"/>
  <c r="C19" i="2" s="1"/>
  <c r="M87" i="1"/>
  <c r="M89" i="1"/>
  <c r="M91" i="1"/>
  <c r="Q91" i="1" s="1"/>
  <c r="M92" i="1"/>
  <c r="M97" i="1"/>
  <c r="M98" i="1"/>
  <c r="S376" i="8"/>
  <c r="V48" i="1"/>
  <c r="S304" i="8"/>
  <c r="AI304" i="8" s="1"/>
  <c r="K310" i="8"/>
  <c r="K314" i="8"/>
  <c r="R23" i="1"/>
  <c r="C22" i="2" s="1"/>
  <c r="R24" i="1"/>
  <c r="L412" i="8"/>
  <c r="N412" i="8"/>
  <c r="P412" i="8"/>
  <c r="R412" i="8"/>
  <c r="T412" i="8"/>
  <c r="V74" i="1"/>
  <c r="E17" i="3"/>
  <c r="E19" i="3"/>
  <c r="Z63" i="2" s="1"/>
  <c r="E20" i="3"/>
  <c r="N103" i="2" s="1"/>
  <c r="P103" i="2" s="1"/>
  <c r="E21" i="3"/>
  <c r="N104" i="2" s="1"/>
  <c r="P104" i="2" s="1"/>
  <c r="Y376" i="8"/>
  <c r="E38" i="3"/>
  <c r="E39" i="3"/>
  <c r="E40" i="3"/>
  <c r="E41" i="3"/>
  <c r="D19" i="1"/>
  <c r="D20" i="1"/>
  <c r="W306" i="8"/>
  <c r="U310" i="8"/>
  <c r="U314" i="8"/>
  <c r="D24" i="1"/>
  <c r="D23" i="1"/>
  <c r="Q310" i="8"/>
  <c r="Q314" i="8"/>
  <c r="O310" i="8"/>
  <c r="O314" i="8"/>
  <c r="M310" i="8"/>
  <c r="M314" i="8"/>
  <c r="J342" i="8"/>
  <c r="L342" i="8"/>
  <c r="N342" i="8"/>
  <c r="P342" i="8"/>
  <c r="R342" i="8"/>
  <c r="T342" i="8"/>
  <c r="V342" i="8"/>
  <c r="X342" i="8"/>
  <c r="Z342" i="8"/>
  <c r="AB342" i="8"/>
  <c r="AD342" i="8"/>
  <c r="AF342" i="8"/>
  <c r="AH342" i="8"/>
  <c r="A93" i="15"/>
  <c r="I479" i="8"/>
  <c r="I459" i="8"/>
  <c r="I453" i="8"/>
  <c r="I455" i="8"/>
  <c r="I456" i="8"/>
  <c r="A444" i="8"/>
  <c r="I447" i="8"/>
  <c r="I448" i="8"/>
  <c r="I449" i="8"/>
  <c r="I452" i="8"/>
  <c r="I436" i="8"/>
  <c r="I437" i="8"/>
  <c r="I440" i="8"/>
  <c r="I441" i="8"/>
  <c r="B43" i="15"/>
  <c r="I427" i="8"/>
  <c r="W393" i="8"/>
  <c r="Y393" i="8"/>
  <c r="W357" i="8"/>
  <c r="I184" i="8"/>
  <c r="K194" i="8"/>
  <c r="M194" i="8"/>
  <c r="O194" i="8"/>
  <c r="Q194" i="8"/>
  <c r="S189" i="8"/>
  <c r="AI189" i="8" s="1"/>
  <c r="U194" i="8"/>
  <c r="I255" i="8"/>
  <c r="F68" i="2"/>
  <c r="L103" i="10"/>
  <c r="L101" i="10"/>
  <c r="L99" i="10"/>
  <c r="L95" i="10"/>
  <c r="H103" i="10"/>
  <c r="A6" i="11"/>
  <c r="A51" i="11"/>
  <c r="E99" i="2"/>
  <c r="T58" i="2"/>
  <c r="I58" i="2" s="1"/>
  <c r="L37" i="10"/>
  <c r="L93" i="10"/>
  <c r="T387" i="8"/>
  <c r="R386" i="8"/>
  <c r="T386" i="8"/>
  <c r="T385" i="8"/>
  <c r="G451" i="8"/>
  <c r="G445" i="8"/>
  <c r="G444" i="8"/>
  <c r="G437" i="8"/>
  <c r="G438" i="8"/>
  <c r="G430" i="8"/>
  <c r="H95" i="10"/>
  <c r="H99" i="10"/>
  <c r="H97" i="10"/>
  <c r="N95" i="1"/>
  <c r="I256" i="8"/>
  <c r="I369" i="8"/>
  <c r="L226" i="8"/>
  <c r="N226" i="8"/>
  <c r="P226" i="8"/>
  <c r="R226" i="8"/>
  <c r="T226" i="8"/>
  <c r="V226" i="8"/>
  <c r="X226" i="8"/>
  <c r="Z226" i="8"/>
  <c r="AB226" i="8"/>
  <c r="AD226" i="8"/>
  <c r="AF226" i="8"/>
  <c r="L221" i="8"/>
  <c r="N221" i="8"/>
  <c r="P221" i="8"/>
  <c r="R221" i="8"/>
  <c r="T221" i="8"/>
  <c r="V221" i="8"/>
  <c r="X221" i="8"/>
  <c r="Z221" i="8"/>
  <c r="AB221" i="8"/>
  <c r="AD221" i="8"/>
  <c r="AF221" i="8"/>
  <c r="I473" i="8"/>
  <c r="I463" i="8"/>
  <c r="I461" i="8"/>
  <c r="I454" i="8"/>
  <c r="I451" i="8"/>
  <c r="I450" i="8"/>
  <c r="I446" i="8"/>
  <c r="I443" i="8"/>
  <c r="I439" i="8"/>
  <c r="I438" i="8"/>
  <c r="I435" i="8"/>
  <c r="A432" i="8"/>
  <c r="I430" i="8"/>
  <c r="B38" i="15"/>
  <c r="A38" i="15"/>
  <c r="I429" i="8"/>
  <c r="I457" i="8"/>
  <c r="I460" i="8"/>
  <c r="I38" i="15"/>
  <c r="AI73" i="10"/>
  <c r="AI55" i="10"/>
  <c r="Q65" i="11"/>
  <c r="Q67" i="11"/>
  <c r="Q69" i="11"/>
  <c r="Q71" i="11"/>
  <c r="Q73" i="11"/>
  <c r="Q75" i="11"/>
  <c r="Q77" i="11"/>
  <c r="Q79" i="11"/>
  <c r="Q80" i="11"/>
  <c r="Q20" i="11"/>
  <c r="Q22" i="11"/>
  <c r="Q24" i="11"/>
  <c r="Q26" i="11"/>
  <c r="Q28" i="11"/>
  <c r="Q30" i="11"/>
  <c r="Q32" i="11"/>
  <c r="Q34" i="11"/>
  <c r="Q35" i="11"/>
  <c r="P19" i="7"/>
  <c r="P20" i="7"/>
  <c r="P21" i="7"/>
  <c r="P22" i="7"/>
  <c r="P23" i="7"/>
  <c r="P24" i="7"/>
  <c r="P25" i="7"/>
  <c r="P26" i="7"/>
  <c r="P27" i="7"/>
  <c r="P28" i="7"/>
  <c r="P29" i="7"/>
  <c r="P31" i="7"/>
  <c r="P32" i="7"/>
  <c r="P33" i="7"/>
  <c r="P34" i="7"/>
  <c r="P35" i="7"/>
  <c r="P36" i="7"/>
  <c r="P37" i="7"/>
  <c r="P39" i="7"/>
  <c r="P40" i="7"/>
  <c r="P41" i="7"/>
  <c r="P42" i="7"/>
  <c r="P47" i="7"/>
  <c r="P48" i="7"/>
  <c r="P49" i="7"/>
  <c r="P50" i="7"/>
  <c r="P51" i="7"/>
  <c r="P52" i="7"/>
  <c r="P53" i="7"/>
  <c r="P60" i="7"/>
  <c r="P61" i="7"/>
  <c r="P62" i="7"/>
  <c r="P63" i="7"/>
  <c r="P64" i="7"/>
  <c r="P65" i="7"/>
  <c r="P66" i="7"/>
  <c r="P68" i="7"/>
  <c r="P69" i="7"/>
  <c r="AI478" i="8"/>
  <c r="AI477" i="8"/>
  <c r="AI476" i="8"/>
  <c r="AI474" i="8"/>
  <c r="AI431" i="8"/>
  <c r="L63" i="11"/>
  <c r="AI25" i="8"/>
  <c r="AI26" i="8"/>
  <c r="AI32" i="8"/>
  <c r="AI33" i="8"/>
  <c r="AI43" i="8"/>
  <c r="AI45" i="8"/>
  <c r="AI46" i="8"/>
  <c r="AI50" i="8"/>
  <c r="AI52" i="8"/>
  <c r="AI53" i="8"/>
  <c r="AI56" i="8"/>
  <c r="AI58" i="8"/>
  <c r="AI59" i="8"/>
  <c r="AI60" i="8"/>
  <c r="AI61" i="8"/>
  <c r="AI66" i="8"/>
  <c r="AI78" i="8"/>
  <c r="AI79" i="8"/>
  <c r="AI93" i="8"/>
  <c r="AI95" i="8"/>
  <c r="AI96" i="8"/>
  <c r="AI97" i="8"/>
  <c r="AI98" i="8"/>
  <c r="AI106" i="8"/>
  <c r="AI107" i="8"/>
  <c r="AI108" i="8"/>
  <c r="AI109" i="8"/>
  <c r="AI116" i="8"/>
  <c r="AI117" i="8"/>
  <c r="AI118" i="8"/>
  <c r="AI119" i="8"/>
  <c r="AI126" i="8"/>
  <c r="AI127" i="8"/>
  <c r="AI128" i="8"/>
  <c r="AI129" i="8"/>
  <c r="AI144" i="8"/>
  <c r="AI145" i="8"/>
  <c r="AI149" i="8"/>
  <c r="AI151" i="8"/>
  <c r="AI153" i="8"/>
  <c r="AI154" i="8"/>
  <c r="AI155" i="8"/>
  <c r="AI202" i="8"/>
  <c r="AI203" i="8"/>
  <c r="AI204" i="8"/>
  <c r="AI234" i="8"/>
  <c r="AI235" i="8"/>
  <c r="AI243" i="8"/>
  <c r="AI245" i="8"/>
  <c r="AI247" i="8"/>
  <c r="AI249" i="8"/>
  <c r="AI250" i="8"/>
  <c r="AI252" i="8"/>
  <c r="AI253" i="8"/>
  <c r="AI259" i="8"/>
  <c r="AI260" i="8"/>
  <c r="AI262" i="8"/>
  <c r="AI263" i="8"/>
  <c r="AI264" i="8"/>
  <c r="AI265" i="8"/>
  <c r="AI266" i="8"/>
  <c r="AI318" i="8"/>
  <c r="AI319" i="8"/>
  <c r="AI320" i="8"/>
  <c r="AI351" i="8"/>
  <c r="AI352" i="8"/>
  <c r="AI359" i="8"/>
  <c r="AI361" i="8"/>
  <c r="AI362" i="8"/>
  <c r="AI371" i="8"/>
  <c r="P63" i="11"/>
  <c r="J63" i="11"/>
  <c r="H63" i="11"/>
  <c r="AI395" i="8"/>
  <c r="AJ395" i="8" s="1"/>
  <c r="AG418" i="8"/>
  <c r="U382" i="8"/>
  <c r="K418" i="8"/>
  <c r="M418" i="8"/>
  <c r="O418" i="8"/>
  <c r="Q418" i="8"/>
  <c r="S418" i="8"/>
  <c r="G423" i="8"/>
  <c r="W423" i="8" s="1"/>
  <c r="G424" i="8"/>
  <c r="G427" i="8"/>
  <c r="G428" i="8"/>
  <c r="G429" i="8"/>
  <c r="G432" i="8"/>
  <c r="G433" i="8"/>
  <c r="G434" i="8"/>
  <c r="G435" i="8"/>
  <c r="G436" i="8"/>
  <c r="G439" i="8"/>
  <c r="G440" i="8"/>
  <c r="G441" i="8"/>
  <c r="G442" i="8"/>
  <c r="G443" i="8"/>
  <c r="G446" i="8"/>
  <c r="G447" i="8"/>
  <c r="G448" i="8"/>
  <c r="G449" i="8"/>
  <c r="G450" i="8"/>
  <c r="G452" i="8"/>
  <c r="G453" i="8"/>
  <c r="G454" i="8"/>
  <c r="G455" i="8"/>
  <c r="G457" i="8"/>
  <c r="G458" i="8"/>
  <c r="G459" i="8"/>
  <c r="G460" i="8"/>
  <c r="G461" i="8"/>
  <c r="G462" i="8"/>
  <c r="G463" i="8"/>
  <c r="G473" i="8"/>
  <c r="B236" i="8"/>
  <c r="B240" i="8"/>
  <c r="B237" i="8"/>
  <c r="I115" i="2"/>
  <c r="I99" i="2"/>
  <c r="E77" i="2"/>
  <c r="G77" i="2" s="1"/>
  <c r="I77" i="2" s="1"/>
  <c r="N60" i="11"/>
  <c r="N15" i="11"/>
  <c r="H44" i="7"/>
  <c r="J44" i="7"/>
  <c r="L44" i="7"/>
  <c r="N44" i="7"/>
  <c r="E7" i="7"/>
  <c r="G7" i="7"/>
  <c r="I7" i="7" s="1"/>
  <c r="K7" i="7" s="1"/>
  <c r="M7" i="7" s="1"/>
  <c r="O7" i="7" s="1"/>
  <c r="Q7" i="7" s="1"/>
  <c r="Q12" i="8"/>
  <c r="S12" i="8" s="1"/>
  <c r="U12" i="8" s="1"/>
  <c r="W12" i="8" s="1"/>
  <c r="Y12" i="8" s="1"/>
  <c r="AA12" i="8" s="1"/>
  <c r="AC12" i="8" s="1"/>
  <c r="AE12" i="8" s="1"/>
  <c r="AG12" i="8" s="1"/>
  <c r="Z46" i="10"/>
  <c r="AB46" i="10"/>
  <c r="AD46" i="10" s="1"/>
  <c r="AF46" i="10" s="1"/>
  <c r="H57" i="7"/>
  <c r="N57" i="7"/>
  <c r="H95" i="1"/>
  <c r="A5" i="11"/>
  <c r="A50" i="11"/>
  <c r="D72" i="11"/>
  <c r="X70" i="10"/>
  <c r="F95" i="1"/>
  <c r="H38" i="15"/>
  <c r="N124" i="2"/>
  <c r="K95" i="1"/>
  <c r="L127" i="15"/>
  <c r="E106" i="2"/>
  <c r="I104" i="2" s="1"/>
  <c r="C118" i="6"/>
  <c r="E114" i="6" s="1"/>
  <c r="AC416" i="8" s="1"/>
  <c r="N18" i="11"/>
  <c r="J18" i="11"/>
  <c r="P22" i="10"/>
  <c r="R22" i="10" s="1"/>
  <c r="L18" i="11"/>
  <c r="P26" i="10"/>
  <c r="R26" i="10" s="1"/>
  <c r="P18" i="11"/>
  <c r="H18" i="11"/>
  <c r="P18" i="10"/>
  <c r="R18" i="10" s="1"/>
  <c r="F18" i="11"/>
  <c r="P16" i="10"/>
  <c r="R16" i="10" s="1"/>
  <c r="W424" i="8" l="1"/>
  <c r="Y424" i="8"/>
  <c r="Y422" i="8"/>
  <c r="Y425" i="8"/>
  <c r="Y423" i="8"/>
  <c r="Y357" i="8"/>
  <c r="Y37" i="8"/>
  <c r="Y171" i="8"/>
  <c r="Y164" i="8"/>
  <c r="Y162" i="8"/>
  <c r="Y158" i="8"/>
  <c r="Y180" i="8"/>
  <c r="Y178" i="8"/>
  <c r="Y165" i="8"/>
  <c r="Y177" i="8"/>
  <c r="Y159" i="8"/>
  <c r="Y179" i="8"/>
  <c r="Y166" i="8"/>
  <c r="Y299" i="8"/>
  <c r="Y176" i="8"/>
  <c r="Y174" i="8"/>
  <c r="Y157" i="8"/>
  <c r="Y161" i="8"/>
  <c r="Y167" i="8"/>
  <c r="Y175" i="8"/>
  <c r="Y185" i="8"/>
  <c r="Y160" i="8"/>
  <c r="Y163" i="8"/>
  <c r="S314" i="8"/>
  <c r="S194" i="8"/>
  <c r="S312" i="8"/>
  <c r="Y306" i="8"/>
  <c r="Y284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94" i="8"/>
  <c r="Y293" i="8"/>
  <c r="Y292" i="8"/>
  <c r="Y291" i="8"/>
  <c r="Y290" i="8"/>
  <c r="Y289" i="8"/>
  <c r="Y288" i="8"/>
  <c r="Y287" i="8"/>
  <c r="S310" i="8"/>
  <c r="O447" i="8"/>
  <c r="AA376" i="8"/>
  <c r="S74" i="8"/>
  <c r="Y30" i="8"/>
  <c r="Y437" i="8"/>
  <c r="S455" i="8"/>
  <c r="S112" i="8"/>
  <c r="Q453" i="8"/>
  <c r="P65" i="2"/>
  <c r="Y65" i="8"/>
  <c r="Y36" i="8"/>
  <c r="L114" i="10"/>
  <c r="Y22" i="8"/>
  <c r="M453" i="8"/>
  <c r="K449" i="8"/>
  <c r="S120" i="8"/>
  <c r="C136" i="6"/>
  <c r="Q69" i="1"/>
  <c r="E36" i="3"/>
  <c r="W30" i="8"/>
  <c r="U461" i="8"/>
  <c r="U101" i="8"/>
  <c r="M438" i="8"/>
  <c r="O449" i="8"/>
  <c r="M439" i="8"/>
  <c r="Y448" i="8"/>
  <c r="H19" i="1"/>
  <c r="D18" i="16"/>
  <c r="K256" i="8"/>
  <c r="O256" i="8"/>
  <c r="G22" i="2"/>
  <c r="Q46" i="1"/>
  <c r="Q71" i="1"/>
  <c r="T65" i="2"/>
  <c r="K12" i="7"/>
  <c r="K80" i="7" s="1"/>
  <c r="D20" i="16"/>
  <c r="Q89" i="1"/>
  <c r="Q88" i="1"/>
  <c r="O100" i="1"/>
  <c r="R54" i="1" s="1"/>
  <c r="X54" i="1" s="1"/>
  <c r="Y430" i="8"/>
  <c r="G19" i="2"/>
  <c r="AA71" i="1" s="1"/>
  <c r="O95" i="1"/>
  <c r="O96" i="1" s="1"/>
  <c r="E17" i="2"/>
  <c r="Q73" i="1"/>
  <c r="O12" i="7"/>
  <c r="O80" i="7" s="1"/>
  <c r="Z62" i="2"/>
  <c r="AB62" i="2" s="1"/>
  <c r="I12" i="7"/>
  <c r="I80" i="7" s="1"/>
  <c r="I103" i="2"/>
  <c r="AC390" i="8" s="1"/>
  <c r="I102" i="2"/>
  <c r="AA390" i="8" s="1"/>
  <c r="W36" i="8"/>
  <c r="M256" i="8"/>
  <c r="U453" i="8"/>
  <c r="U449" i="8"/>
  <c r="S453" i="8"/>
  <c r="M449" i="8"/>
  <c r="Q449" i="8"/>
  <c r="S449" i="8"/>
  <c r="O453" i="8"/>
  <c r="T63" i="2"/>
  <c r="Y38" i="8"/>
  <c r="Q198" i="8"/>
  <c r="M196" i="8"/>
  <c r="Y443" i="8"/>
  <c r="Q447" i="8"/>
  <c r="B47" i="15"/>
  <c r="A43" i="15"/>
  <c r="A47" i="15"/>
  <c r="Y365" i="8"/>
  <c r="W365" i="8"/>
  <c r="P103" i="10"/>
  <c r="R103" i="10" s="1"/>
  <c r="Q74" i="1"/>
  <c r="Z65" i="2"/>
  <c r="Z64" i="2"/>
  <c r="T64" i="2"/>
  <c r="M12" i="7"/>
  <c r="M80" i="7" s="1"/>
  <c r="K457" i="8"/>
  <c r="O457" i="8"/>
  <c r="S457" i="8"/>
  <c r="U457" i="8"/>
  <c r="M457" i="8"/>
  <c r="Q457" i="8"/>
  <c r="I426" i="8"/>
  <c r="I12" i="15"/>
  <c r="O461" i="8"/>
  <c r="I428" i="8"/>
  <c r="M197" i="8"/>
  <c r="Q195" i="8"/>
  <c r="W190" i="8"/>
  <c r="W55" i="8"/>
  <c r="W27" i="8"/>
  <c r="Y27" i="8"/>
  <c r="AA27" i="8"/>
  <c r="Y41" i="8"/>
  <c r="W41" i="8"/>
  <c r="AA49" i="8"/>
  <c r="Y85" i="8"/>
  <c r="W85" i="8"/>
  <c r="U99" i="8"/>
  <c r="K99" i="8"/>
  <c r="W22" i="8"/>
  <c r="H62" i="15"/>
  <c r="A19" i="15"/>
  <c r="A102" i="15"/>
  <c r="A62" i="15"/>
  <c r="A119" i="15"/>
  <c r="A124" i="15" s="1"/>
  <c r="I76" i="15"/>
  <c r="I19" i="15"/>
  <c r="A86" i="15"/>
  <c r="U459" i="8"/>
  <c r="K459" i="8"/>
  <c r="S86" i="8"/>
  <c r="W86" i="8"/>
  <c r="G24" i="7" s="1"/>
  <c r="O86" i="8"/>
  <c r="I100" i="8"/>
  <c r="M100" i="8" s="1"/>
  <c r="H86" i="15"/>
  <c r="I123" i="8"/>
  <c r="U123" i="8" s="1"/>
  <c r="H102" i="15"/>
  <c r="I133" i="8"/>
  <c r="I143" i="8" s="1"/>
  <c r="H119" i="15"/>
  <c r="H124" i="15" s="1"/>
  <c r="Q454" i="8"/>
  <c r="O454" i="8"/>
  <c r="U454" i="8"/>
  <c r="M454" i="8"/>
  <c r="K454" i="8"/>
  <c r="U104" i="8"/>
  <c r="K104" i="8"/>
  <c r="M104" i="8"/>
  <c r="Y20" i="8"/>
  <c r="W20" i="8"/>
  <c r="I110" i="8"/>
  <c r="K110" i="8" s="1"/>
  <c r="H93" i="15"/>
  <c r="W23" i="8"/>
  <c r="Y39" i="8"/>
  <c r="Q450" i="8"/>
  <c r="Y446" i="8"/>
  <c r="S438" i="8"/>
  <c r="B12" i="15"/>
  <c r="K456" i="8"/>
  <c r="Q456" i="8"/>
  <c r="O456" i="8"/>
  <c r="U456" i="8"/>
  <c r="M456" i="8"/>
  <c r="S456" i="8"/>
  <c r="AA72" i="8"/>
  <c r="I86" i="15"/>
  <c r="W427" i="8"/>
  <c r="Y427" i="8"/>
  <c r="I33" i="15"/>
  <c r="I238" i="8"/>
  <c r="I242" i="8" s="1"/>
  <c r="D18" i="11"/>
  <c r="Q368" i="8"/>
  <c r="W430" i="8"/>
  <c r="Y55" i="8"/>
  <c r="M86" i="8"/>
  <c r="Q74" i="8"/>
  <c r="Y49" i="8"/>
  <c r="K439" i="8"/>
  <c r="AA55" i="8"/>
  <c r="M112" i="8"/>
  <c r="U86" i="8"/>
  <c r="K86" i="8"/>
  <c r="W49" i="8"/>
  <c r="AI418" i="8"/>
  <c r="AJ418" i="8" s="1"/>
  <c r="P57" i="7"/>
  <c r="P44" i="7"/>
  <c r="Q254" i="8"/>
  <c r="K254" i="8"/>
  <c r="U254" i="8"/>
  <c r="W363" i="8"/>
  <c r="O363" i="8"/>
  <c r="Y363" i="8"/>
  <c r="Q363" i="8"/>
  <c r="AA363" i="8"/>
  <c r="S363" i="8"/>
  <c r="U363" i="8"/>
  <c r="Y47" i="8"/>
  <c r="K447" i="8"/>
  <c r="Y23" i="8"/>
  <c r="M447" i="8"/>
  <c r="M455" i="8"/>
  <c r="W111" i="8"/>
  <c r="G34" i="7" s="1"/>
  <c r="M111" i="8"/>
  <c r="AA65" i="8"/>
  <c r="W72" i="8"/>
  <c r="O438" i="8"/>
  <c r="Q461" i="8"/>
  <c r="S256" i="8"/>
  <c r="Q256" i="8"/>
  <c r="Q438" i="8"/>
  <c r="W447" i="8"/>
  <c r="W437" i="8"/>
  <c r="Y435" i="8"/>
  <c r="S461" i="8"/>
  <c r="S439" i="8"/>
  <c r="O439" i="8"/>
  <c r="Q455" i="8"/>
  <c r="K461" i="8"/>
  <c r="Y111" i="8"/>
  <c r="I34" i="7" s="1"/>
  <c r="K111" i="8"/>
  <c r="I148" i="8"/>
  <c r="W435" i="8"/>
  <c r="O455" i="8"/>
  <c r="D31" i="11"/>
  <c r="U439" i="8"/>
  <c r="U256" i="8"/>
  <c r="W443" i="8"/>
  <c r="S447" i="8"/>
  <c r="U447" i="8"/>
  <c r="M461" i="8"/>
  <c r="U111" i="8"/>
  <c r="S111" i="8"/>
  <c r="Q111" i="8"/>
  <c r="P95" i="10"/>
  <c r="R95" i="10" s="1"/>
  <c r="E111" i="6"/>
  <c r="E113" i="6"/>
  <c r="AA416" i="8" s="1"/>
  <c r="AA103" i="8" s="1"/>
  <c r="K31" i="7" s="1"/>
  <c r="E112" i="6"/>
  <c r="Y416" i="8" s="1"/>
  <c r="Y103" i="8" s="1"/>
  <c r="I31" i="7" s="1"/>
  <c r="E116" i="6"/>
  <c r="AG416" i="8" s="1"/>
  <c r="E115" i="6"/>
  <c r="AE416" i="8" s="1"/>
  <c r="L97" i="10"/>
  <c r="L105" i="10" s="1"/>
  <c r="P20" i="10"/>
  <c r="P99" i="10"/>
  <c r="R99" i="10" s="1"/>
  <c r="C18" i="2"/>
  <c r="D19" i="16"/>
  <c r="Q70" i="1"/>
  <c r="H20" i="1"/>
  <c r="Q45" i="1"/>
  <c r="F63" i="11"/>
  <c r="H93" i="10"/>
  <c r="H28" i="10"/>
  <c r="J16" i="10" s="1"/>
  <c r="P24" i="10"/>
  <c r="R24" i="10" s="1"/>
  <c r="H101" i="10"/>
  <c r="N63" i="11"/>
  <c r="L28" i="10"/>
  <c r="N16" i="10" s="1"/>
  <c r="Q87" i="1"/>
  <c r="M28" i="1"/>
  <c r="Q44" i="1"/>
  <c r="R22" i="1"/>
  <c r="R26" i="1" s="1"/>
  <c r="V20" i="1" s="1"/>
  <c r="M90" i="1"/>
  <c r="M100" i="1" s="1"/>
  <c r="X53" i="1" s="1"/>
  <c r="V54" i="1" s="1"/>
  <c r="E22" i="3"/>
  <c r="K125" i="2"/>
  <c r="E37" i="3"/>
  <c r="T62" i="2"/>
  <c r="D26" i="1"/>
  <c r="F19" i="1" s="1"/>
  <c r="T61" i="2"/>
  <c r="G12" i="7"/>
  <c r="C17" i="2"/>
  <c r="E41" i="2"/>
  <c r="I41" i="2" s="1"/>
  <c r="M460" i="8"/>
  <c r="S460" i="8"/>
  <c r="U460" i="8"/>
  <c r="K460" i="8"/>
  <c r="O460" i="8"/>
  <c r="Q460" i="8"/>
  <c r="W446" i="8"/>
  <c r="K436" i="8"/>
  <c r="AA436" i="8"/>
  <c r="M436" i="8"/>
  <c r="U436" i="8"/>
  <c r="Q436" i="8"/>
  <c r="Q459" i="8"/>
  <c r="M459" i="8"/>
  <c r="S459" i="8"/>
  <c r="O459" i="8"/>
  <c r="I370" i="8"/>
  <c r="M89" i="8"/>
  <c r="U89" i="8"/>
  <c r="O89" i="8"/>
  <c r="S89" i="8"/>
  <c r="K89" i="8"/>
  <c r="Q89" i="8"/>
  <c r="K450" i="8"/>
  <c r="O450" i="8"/>
  <c r="I62" i="15"/>
  <c r="K88" i="8"/>
  <c r="S88" i="8"/>
  <c r="M88" i="8"/>
  <c r="Q88" i="8"/>
  <c r="W436" i="8"/>
  <c r="S450" i="8"/>
  <c r="S436" i="8"/>
  <c r="O436" i="8"/>
  <c r="A138" i="15"/>
  <c r="K438" i="8"/>
  <c r="U438" i="8"/>
  <c r="M254" i="8"/>
  <c r="S254" i="8"/>
  <c r="O254" i="8"/>
  <c r="I258" i="8"/>
  <c r="AA70" i="8"/>
  <c r="W70" i="8"/>
  <c r="Y70" i="8"/>
  <c r="W63" i="8"/>
  <c r="Y63" i="8"/>
  <c r="I29" i="8"/>
  <c r="I31" i="8" s="1"/>
  <c r="H19" i="15"/>
  <c r="A12" i="15"/>
  <c r="W40" i="8"/>
  <c r="Y40" i="8"/>
  <c r="W35" i="8"/>
  <c r="Y35" i="8"/>
  <c r="U450" i="8"/>
  <c r="M450" i="8"/>
  <c r="I442" i="8"/>
  <c r="H138" i="15"/>
  <c r="W448" i="8"/>
  <c r="K455" i="8"/>
  <c r="U455" i="8"/>
  <c r="I445" i="8"/>
  <c r="I444" i="8"/>
  <c r="W444" i="8" s="1"/>
  <c r="B119" i="15"/>
  <c r="B124" i="15" s="1"/>
  <c r="O88" i="8"/>
  <c r="I48" i="8"/>
  <c r="I51" i="8" s="1"/>
  <c r="H43" i="15"/>
  <c r="M73" i="8"/>
  <c r="S73" i="8"/>
  <c r="K73" i="8"/>
  <c r="O73" i="8"/>
  <c r="U73" i="8"/>
  <c r="U71" i="8"/>
  <c r="W71" i="8"/>
  <c r="G21" i="7" s="1"/>
  <c r="S71" i="8"/>
  <c r="Q71" i="8"/>
  <c r="M71" i="8"/>
  <c r="O71" i="8"/>
  <c r="S124" i="8"/>
  <c r="K124" i="8"/>
  <c r="U124" i="8"/>
  <c r="K453" i="8"/>
  <c r="B33" i="15"/>
  <c r="B102" i="15"/>
  <c r="K368" i="8"/>
  <c r="S368" i="8"/>
  <c r="O368" i="8"/>
  <c r="M368" i="8"/>
  <c r="U368" i="8"/>
  <c r="M99" i="8"/>
  <c r="O99" i="8"/>
  <c r="Q99" i="8"/>
  <c r="S99" i="8"/>
  <c r="W47" i="8"/>
  <c r="S454" i="8"/>
  <c r="Q439" i="8"/>
  <c r="I102" i="15"/>
  <c r="B76" i="15"/>
  <c r="B86" i="15"/>
  <c r="B93" i="15"/>
  <c r="I82" i="8"/>
  <c r="I83" i="8"/>
  <c r="A82" i="8"/>
  <c r="U112" i="8"/>
  <c r="K112" i="8"/>
  <c r="O112" i="8"/>
  <c r="Q112" i="8"/>
  <c r="K120" i="8"/>
  <c r="M120" i="8"/>
  <c r="O120" i="8"/>
  <c r="U120" i="8"/>
  <c r="B62" i="15"/>
  <c r="K74" i="8"/>
  <c r="O74" i="8"/>
  <c r="U74" i="8"/>
  <c r="M74" i="8"/>
  <c r="A76" i="15"/>
  <c r="A33" i="15"/>
  <c r="W38" i="8"/>
  <c r="W39" i="8"/>
  <c r="Y72" i="8"/>
  <c r="W87" i="8"/>
  <c r="Y87" i="8"/>
  <c r="O104" i="8"/>
  <c r="Q104" i="8"/>
  <c r="S104" i="8"/>
  <c r="W65" i="8"/>
  <c r="Q86" i="8"/>
  <c r="I105" i="2"/>
  <c r="AG390" i="8" s="1"/>
  <c r="AE390" i="8"/>
  <c r="I358" i="8"/>
  <c r="K193" i="8"/>
  <c r="S225" i="8"/>
  <c r="K309" i="8"/>
  <c r="U225" i="8"/>
  <c r="W307" i="8"/>
  <c r="Y307" i="8"/>
  <c r="AA307" i="8"/>
  <c r="S346" i="8"/>
  <c r="W301" i="8"/>
  <c r="Y301" i="8"/>
  <c r="I226" i="8"/>
  <c r="W191" i="8"/>
  <c r="W184" i="8"/>
  <c r="Y184" i="8"/>
  <c r="U311" i="8"/>
  <c r="K311" i="8"/>
  <c r="S311" i="8"/>
  <c r="O311" i="8"/>
  <c r="Y298" i="8"/>
  <c r="W298" i="8"/>
  <c r="Q311" i="8"/>
  <c r="S313" i="8"/>
  <c r="Q313" i="8"/>
  <c r="O313" i="8"/>
  <c r="M313" i="8"/>
  <c r="K313" i="8"/>
  <c r="AA305" i="8"/>
  <c r="Y305" i="8"/>
  <c r="W305" i="8"/>
  <c r="U313" i="8"/>
  <c r="M311" i="8"/>
  <c r="K225" i="8"/>
  <c r="M225" i="8"/>
  <c r="O225" i="8"/>
  <c r="Q225" i="8"/>
  <c r="M346" i="8"/>
  <c r="U346" i="8"/>
  <c r="K346" i="8"/>
  <c r="O346" i="8"/>
  <c r="Q346" i="8"/>
  <c r="K312" i="8"/>
  <c r="Q312" i="8"/>
  <c r="O312" i="8"/>
  <c r="M312" i="8"/>
  <c r="U312" i="8"/>
  <c r="Y300" i="8"/>
  <c r="W300" i="8"/>
  <c r="E131" i="6" l="1"/>
  <c r="E130" i="6"/>
  <c r="E134" i="6"/>
  <c r="E132" i="6"/>
  <c r="AC417" i="8" s="1"/>
  <c r="AC256" i="8" s="1"/>
  <c r="E133" i="6"/>
  <c r="E129" i="6"/>
  <c r="Z54" i="1"/>
  <c r="V19" i="1"/>
  <c r="AA422" i="8"/>
  <c r="AA425" i="8"/>
  <c r="AA424" i="8"/>
  <c r="Y181" i="8"/>
  <c r="W426" i="8"/>
  <c r="AA37" i="8"/>
  <c r="AA171" i="8"/>
  <c r="AA179" i="8"/>
  <c r="AA299" i="8"/>
  <c r="AA159" i="8"/>
  <c r="AA164" i="8"/>
  <c r="AA162" i="8"/>
  <c r="AA158" i="8"/>
  <c r="AA178" i="8"/>
  <c r="AA165" i="8"/>
  <c r="AA177" i="8"/>
  <c r="AA180" i="8"/>
  <c r="AA166" i="8"/>
  <c r="AA160" i="8"/>
  <c r="AA163" i="8"/>
  <c r="AA175" i="8"/>
  <c r="AA157" i="8"/>
  <c r="AA185" i="8"/>
  <c r="AA174" i="8"/>
  <c r="AA176" i="8"/>
  <c r="AA161" i="8"/>
  <c r="AA167" i="8"/>
  <c r="AA38" i="8"/>
  <c r="Y168" i="8"/>
  <c r="Y295" i="8"/>
  <c r="Y281" i="8"/>
  <c r="AA284" i="8"/>
  <c r="AA280" i="8"/>
  <c r="AA279" i="8"/>
  <c r="AA278" i="8"/>
  <c r="AA277" i="8"/>
  <c r="AA276" i="8"/>
  <c r="AA275" i="8"/>
  <c r="AA274" i="8"/>
  <c r="AA273" i="8"/>
  <c r="AA272" i="8"/>
  <c r="AA271" i="8"/>
  <c r="AA270" i="8"/>
  <c r="AA269" i="8"/>
  <c r="AA268" i="8"/>
  <c r="AA294" i="8"/>
  <c r="AA293" i="8"/>
  <c r="AA292" i="8"/>
  <c r="AA291" i="8"/>
  <c r="AA290" i="8"/>
  <c r="AA289" i="8"/>
  <c r="AA288" i="8"/>
  <c r="AA287" i="8"/>
  <c r="Y426" i="8"/>
  <c r="U195" i="8"/>
  <c r="Y31" i="8"/>
  <c r="AA423" i="8"/>
  <c r="AA357" i="8"/>
  <c r="AC376" i="8"/>
  <c r="AA306" i="8"/>
  <c r="AA300" i="8"/>
  <c r="AA86" i="8"/>
  <c r="K24" i="7" s="1"/>
  <c r="AA368" i="8"/>
  <c r="K69" i="7" s="1"/>
  <c r="AA124" i="8"/>
  <c r="K40" i="7" s="1"/>
  <c r="AA35" i="8"/>
  <c r="AA40" i="8"/>
  <c r="AA63" i="8"/>
  <c r="AA47" i="8"/>
  <c r="AA51" i="8" s="1"/>
  <c r="AA184" i="8"/>
  <c r="AA427" i="8"/>
  <c r="AA39" i="8"/>
  <c r="AA87" i="8"/>
  <c r="AA120" i="8"/>
  <c r="K36" i="7" s="1"/>
  <c r="AA71" i="8"/>
  <c r="K21" i="7" s="1"/>
  <c r="AA23" i="8"/>
  <c r="AA20" i="8"/>
  <c r="AA41" i="8"/>
  <c r="AA428" i="8"/>
  <c r="AA36" i="8"/>
  <c r="AA461" i="8"/>
  <c r="AA301" i="8"/>
  <c r="AA298" i="8"/>
  <c r="AA446" i="8"/>
  <c r="AA460" i="8"/>
  <c r="AA448" i="8"/>
  <c r="AA447" i="8"/>
  <c r="AA430" i="8"/>
  <c r="AA437" i="8"/>
  <c r="AA435" i="8"/>
  <c r="AA22" i="8"/>
  <c r="AA85" i="8"/>
  <c r="AA365" i="8"/>
  <c r="AA111" i="8"/>
  <c r="K34" i="7" s="1"/>
  <c r="AA30" i="8"/>
  <c r="AA31" i="8" s="1"/>
  <c r="AA443" i="8"/>
  <c r="P61" i="2"/>
  <c r="R61" i="2" s="1"/>
  <c r="N93" i="10"/>
  <c r="O195" i="8"/>
  <c r="S195" i="8"/>
  <c r="K195" i="8"/>
  <c r="M195" i="8"/>
  <c r="K101" i="8"/>
  <c r="M101" i="8"/>
  <c r="M105" i="8" s="1"/>
  <c r="Q193" i="8"/>
  <c r="U193" i="8"/>
  <c r="Q192" i="8"/>
  <c r="H26" i="1"/>
  <c r="AG417" i="8"/>
  <c r="AC444" i="8"/>
  <c r="U198" i="8"/>
  <c r="S309" i="8"/>
  <c r="I47" i="15"/>
  <c r="M198" i="8"/>
  <c r="W428" i="8"/>
  <c r="W417" i="8"/>
  <c r="AA417" i="8"/>
  <c r="AA256" i="8" s="1"/>
  <c r="K416" i="8"/>
  <c r="Y417" i="8"/>
  <c r="Y256" i="8" s="1"/>
  <c r="Y51" i="8"/>
  <c r="W31" i="8"/>
  <c r="Y428" i="8"/>
  <c r="K198" i="8"/>
  <c r="S198" i="8"/>
  <c r="AC190" i="8"/>
  <c r="O198" i="8"/>
  <c r="S101" i="8"/>
  <c r="O101" i="8"/>
  <c r="Q101" i="8"/>
  <c r="S197" i="8"/>
  <c r="K196" i="8"/>
  <c r="M193" i="8"/>
  <c r="AC426" i="8"/>
  <c r="O193" i="8"/>
  <c r="M309" i="8"/>
  <c r="S193" i="8"/>
  <c r="S123" i="8"/>
  <c r="AA426" i="8"/>
  <c r="O196" i="8"/>
  <c r="Q18" i="11"/>
  <c r="I43" i="15"/>
  <c r="AC428" i="8"/>
  <c r="I150" i="8"/>
  <c r="C81" i="2"/>
  <c r="AC447" i="8"/>
  <c r="E21" i="2"/>
  <c r="E24" i="2" s="1"/>
  <c r="N17" i="2" s="1"/>
  <c r="G39" i="2"/>
  <c r="G44" i="2" s="1"/>
  <c r="AC71" i="8"/>
  <c r="M21" i="7" s="1"/>
  <c r="Q100" i="8"/>
  <c r="I105" i="8"/>
  <c r="I78" i="15"/>
  <c r="U196" i="8"/>
  <c r="Q197" i="8"/>
  <c r="Q196" i="8"/>
  <c r="K197" i="8"/>
  <c r="O197" i="8"/>
  <c r="Y190" i="8"/>
  <c r="S196" i="8"/>
  <c r="U197" i="8"/>
  <c r="AA190" i="8"/>
  <c r="AA123" i="8"/>
  <c r="K39" i="7" s="1"/>
  <c r="Q110" i="8"/>
  <c r="Q115" i="8" s="1"/>
  <c r="W51" i="8"/>
  <c r="M110" i="8"/>
  <c r="M115" i="8" s="1"/>
  <c r="Q123" i="8"/>
  <c r="S110" i="8"/>
  <c r="A78" i="15"/>
  <c r="A126" i="15" s="1"/>
  <c r="K100" i="8"/>
  <c r="I54" i="8"/>
  <c r="H47" i="15"/>
  <c r="S100" i="8"/>
  <c r="O110" i="8"/>
  <c r="O115" i="8" s="1"/>
  <c r="U110" i="8"/>
  <c r="M123" i="8"/>
  <c r="O123" i="8"/>
  <c r="AC123" i="8"/>
  <c r="M39" i="7" s="1"/>
  <c r="K123" i="8"/>
  <c r="I69" i="8"/>
  <c r="O69" i="8" s="1"/>
  <c r="B69" i="8"/>
  <c r="I434" i="8" s="1"/>
  <c r="U100" i="8"/>
  <c r="U105" i="8" s="1"/>
  <c r="O100" i="8"/>
  <c r="O309" i="8"/>
  <c r="Q309" i="8"/>
  <c r="U309" i="8"/>
  <c r="E118" i="6"/>
  <c r="W416" i="8"/>
  <c r="K115" i="8"/>
  <c r="E39" i="2"/>
  <c r="G17" i="2"/>
  <c r="K20" i="1"/>
  <c r="M379" i="8" s="1"/>
  <c r="M363" i="8" s="1"/>
  <c r="K19" i="1"/>
  <c r="N105" i="2"/>
  <c r="P105" i="2" s="1"/>
  <c r="T66" i="2"/>
  <c r="Q12" i="7"/>
  <c r="Q80" i="7" s="1"/>
  <c r="AG393" i="8"/>
  <c r="E24" i="3"/>
  <c r="I17" i="3" s="1"/>
  <c r="Z61" i="2"/>
  <c r="AB61" i="2" s="1"/>
  <c r="D63" i="11"/>
  <c r="R20" i="10"/>
  <c r="P28" i="10"/>
  <c r="R28" i="10" s="1"/>
  <c r="R100" i="1"/>
  <c r="Q100" i="1"/>
  <c r="G80" i="7"/>
  <c r="N95" i="10"/>
  <c r="N103" i="10"/>
  <c r="N18" i="10"/>
  <c r="N22" i="10"/>
  <c r="N24" i="10"/>
  <c r="N101" i="10"/>
  <c r="N26" i="10"/>
  <c r="N20" i="10"/>
  <c r="E40" i="2"/>
  <c r="I40" i="2" s="1"/>
  <c r="G18" i="2"/>
  <c r="P97" i="10"/>
  <c r="R97" i="10" s="1"/>
  <c r="N97" i="10"/>
  <c r="C80" i="2"/>
  <c r="K378" i="8"/>
  <c r="Q90" i="1"/>
  <c r="M96" i="1"/>
  <c r="Q96" i="1" s="1"/>
  <c r="V24" i="1"/>
  <c r="V23" i="1"/>
  <c r="V21" i="1"/>
  <c r="M95" i="1"/>
  <c r="E43" i="3"/>
  <c r="I36" i="3" s="1"/>
  <c r="J26" i="10"/>
  <c r="J18" i="10"/>
  <c r="J99" i="10"/>
  <c r="J103" i="10"/>
  <c r="J95" i="10"/>
  <c r="J20" i="10"/>
  <c r="J97" i="10"/>
  <c r="J22" i="10"/>
  <c r="N99" i="10"/>
  <c r="F21" i="1"/>
  <c r="O378" i="8" s="1"/>
  <c r="F23" i="1"/>
  <c r="S378" i="8" s="1"/>
  <c r="F22" i="1"/>
  <c r="Q378" i="8" s="1"/>
  <c r="F24" i="1"/>
  <c r="U378" i="8" s="1"/>
  <c r="F20" i="1"/>
  <c r="M378" i="8" s="1"/>
  <c r="D21" i="16"/>
  <c r="D25" i="16" s="1"/>
  <c r="F18" i="16" s="1"/>
  <c r="Q47" i="1"/>
  <c r="C20" i="2"/>
  <c r="M381" i="8"/>
  <c r="V22" i="1"/>
  <c r="Q72" i="1"/>
  <c r="Q76" i="1" s="1"/>
  <c r="P101" i="10"/>
  <c r="R101" i="10" s="1"/>
  <c r="J101" i="10"/>
  <c r="P93" i="10"/>
  <c r="H105" i="10"/>
  <c r="J93" i="10"/>
  <c r="J24" i="10"/>
  <c r="W82" i="8"/>
  <c r="Y82" i="8"/>
  <c r="AC82" i="8"/>
  <c r="AA82" i="8"/>
  <c r="B82" i="8"/>
  <c r="S121" i="8"/>
  <c r="M121" i="8"/>
  <c r="Q121" i="8"/>
  <c r="AA121" i="8"/>
  <c r="K121" i="8"/>
  <c r="O121" i="8"/>
  <c r="U121" i="8"/>
  <c r="U125" i="8" s="1"/>
  <c r="AC121" i="8"/>
  <c r="Y445" i="8"/>
  <c r="AA445" i="8"/>
  <c r="AC445" i="8"/>
  <c r="W445" i="8"/>
  <c r="I19" i="8"/>
  <c r="H12" i="15"/>
  <c r="B78" i="15"/>
  <c r="B126" i="15" s="1"/>
  <c r="I462" i="8"/>
  <c r="I119" i="15"/>
  <c r="I124" i="15" s="1"/>
  <c r="B445" i="8"/>
  <c r="I68" i="8"/>
  <c r="W68" i="8" s="1"/>
  <c r="I67" i="8"/>
  <c r="H31" i="10"/>
  <c r="H33" i="10" s="1"/>
  <c r="H38" i="10" s="1"/>
  <c r="D31" i="10"/>
  <c r="L108" i="10"/>
  <c r="H108" i="10"/>
  <c r="L31" i="10"/>
  <c r="D108" i="10"/>
  <c r="I34" i="8"/>
  <c r="H33" i="15"/>
  <c r="I81" i="8"/>
  <c r="H76" i="15"/>
  <c r="H78" i="15" s="1"/>
  <c r="I125" i="8"/>
  <c r="I458" i="8"/>
  <c r="I93" i="15"/>
  <c r="AA444" i="8"/>
  <c r="Y444" i="8"/>
  <c r="I106" i="2"/>
  <c r="I332" i="8"/>
  <c r="U308" i="8"/>
  <c r="I342" i="8"/>
  <c r="Y191" i="8"/>
  <c r="Q308" i="8"/>
  <c r="K308" i="8"/>
  <c r="S308" i="8"/>
  <c r="M308" i="8"/>
  <c r="O308" i="8"/>
  <c r="I221" i="8"/>
  <c r="AA191" i="8"/>
  <c r="AC191" i="8"/>
  <c r="W186" i="8"/>
  <c r="AA186" i="8"/>
  <c r="Y186" i="8"/>
  <c r="AC186" i="8"/>
  <c r="W187" i="8"/>
  <c r="Y187" i="8"/>
  <c r="AA187" i="8"/>
  <c r="AC187" i="8"/>
  <c r="T42" i="1" l="1"/>
  <c r="H16" i="16" s="1"/>
  <c r="AC422" i="8"/>
  <c r="AC425" i="8"/>
  <c r="AC424" i="8"/>
  <c r="AC436" i="8"/>
  <c r="O37" i="8"/>
  <c r="O425" i="8"/>
  <c r="O424" i="8"/>
  <c r="O422" i="8"/>
  <c r="M37" i="8"/>
  <c r="M425" i="8"/>
  <c r="M424" i="8"/>
  <c r="M422" i="8"/>
  <c r="H126" i="15"/>
  <c r="B243" i="8" s="1"/>
  <c r="U37" i="8"/>
  <c r="U424" i="8"/>
  <c r="U422" i="8"/>
  <c r="U425" i="8"/>
  <c r="Q37" i="8"/>
  <c r="Q422" i="8"/>
  <c r="Q425" i="8"/>
  <c r="Q424" i="8"/>
  <c r="K37" i="8"/>
  <c r="K424" i="8"/>
  <c r="K422" i="8"/>
  <c r="K425" i="8"/>
  <c r="S37" i="8"/>
  <c r="S425" i="8"/>
  <c r="S424" i="8"/>
  <c r="S422" i="8"/>
  <c r="AC37" i="8"/>
  <c r="AC171" i="8"/>
  <c r="AC179" i="8"/>
  <c r="AC166" i="8"/>
  <c r="AC180" i="8"/>
  <c r="AC164" i="8"/>
  <c r="AC162" i="8"/>
  <c r="AC158" i="8"/>
  <c r="AC178" i="8"/>
  <c r="AC299" i="8"/>
  <c r="AC165" i="8"/>
  <c r="AC159" i="8"/>
  <c r="AC177" i="8"/>
  <c r="AC185" i="8"/>
  <c r="AC161" i="8"/>
  <c r="AC160" i="8"/>
  <c r="AC157" i="8"/>
  <c r="AC174" i="8"/>
  <c r="AC176" i="8"/>
  <c r="AC175" i="8"/>
  <c r="AC167" i="8"/>
  <c r="AC163" i="8"/>
  <c r="AA181" i="8"/>
  <c r="AA168" i="8"/>
  <c r="I126" i="15"/>
  <c r="R65" i="2"/>
  <c r="M157" i="8"/>
  <c r="M161" i="8"/>
  <c r="M165" i="8"/>
  <c r="M160" i="8"/>
  <c r="M164" i="8"/>
  <c r="M171" i="8"/>
  <c r="M159" i="8"/>
  <c r="M163" i="8"/>
  <c r="M167" i="8"/>
  <c r="M158" i="8"/>
  <c r="M162" i="8"/>
  <c r="M166" i="8"/>
  <c r="O158" i="8"/>
  <c r="O160" i="8"/>
  <c r="O162" i="8"/>
  <c r="O164" i="8"/>
  <c r="O166" i="8"/>
  <c r="O171" i="8"/>
  <c r="O157" i="8"/>
  <c r="O159" i="8"/>
  <c r="O161" i="8"/>
  <c r="O163" i="8"/>
  <c r="O165" i="8"/>
  <c r="O167" i="8"/>
  <c r="U158" i="8"/>
  <c r="U162" i="8"/>
  <c r="U166" i="8"/>
  <c r="U157" i="8"/>
  <c r="U161" i="8"/>
  <c r="U165" i="8"/>
  <c r="U160" i="8"/>
  <c r="U164" i="8"/>
  <c r="U171" i="8"/>
  <c r="U159" i="8"/>
  <c r="U163" i="8"/>
  <c r="U167" i="8"/>
  <c r="K159" i="8"/>
  <c r="K163" i="8"/>
  <c r="K167" i="8"/>
  <c r="K158" i="8"/>
  <c r="K162" i="8"/>
  <c r="K166" i="8"/>
  <c r="K157" i="8"/>
  <c r="K161" i="8"/>
  <c r="K165" i="8"/>
  <c r="K160" i="8"/>
  <c r="K164" i="8"/>
  <c r="K171" i="8"/>
  <c r="Q171" i="8"/>
  <c r="Q163" i="8"/>
  <c r="Q157" i="8"/>
  <c r="Q164" i="8"/>
  <c r="Q158" i="8"/>
  <c r="Q166" i="8"/>
  <c r="Q159" i="8"/>
  <c r="Q167" i="8"/>
  <c r="Q162" i="8"/>
  <c r="Q160" i="8"/>
  <c r="Q161" i="8"/>
  <c r="Q165" i="8"/>
  <c r="S160" i="8"/>
  <c r="S164" i="8"/>
  <c r="S171" i="8"/>
  <c r="S159" i="8"/>
  <c r="S163" i="8"/>
  <c r="S167" i="8"/>
  <c r="S158" i="8"/>
  <c r="S162" i="8"/>
  <c r="S166" i="8"/>
  <c r="S157" i="8"/>
  <c r="S161" i="8"/>
  <c r="S165" i="8"/>
  <c r="AA295" i="8"/>
  <c r="AA281" i="8"/>
  <c r="K284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Q284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S284" i="8"/>
  <c r="S277" i="8"/>
  <c r="S273" i="8"/>
  <c r="S269" i="8"/>
  <c r="S270" i="8"/>
  <c r="S280" i="8"/>
  <c r="S276" i="8"/>
  <c r="S272" i="8"/>
  <c r="S268" i="8"/>
  <c r="S279" i="8"/>
  <c r="S275" i="8"/>
  <c r="S271" i="8"/>
  <c r="S278" i="8"/>
  <c r="S274" i="8"/>
  <c r="AC279" i="8"/>
  <c r="AC275" i="8"/>
  <c r="AC271" i="8"/>
  <c r="AC294" i="8"/>
  <c r="AC290" i="8"/>
  <c r="AC280" i="8"/>
  <c r="AC276" i="8"/>
  <c r="AC272" i="8"/>
  <c r="AC268" i="8"/>
  <c r="AC291" i="8"/>
  <c r="AC287" i="8"/>
  <c r="AC278" i="8"/>
  <c r="AC274" i="8"/>
  <c r="AC270" i="8"/>
  <c r="AC284" i="8"/>
  <c r="AC277" i="8"/>
  <c r="AC273" i="8"/>
  <c r="AC269" i="8"/>
  <c r="AC292" i="8"/>
  <c r="AC288" i="8"/>
  <c r="AC293" i="8"/>
  <c r="AC289" i="8"/>
  <c r="U278" i="8"/>
  <c r="U274" i="8"/>
  <c r="U270" i="8"/>
  <c r="U284" i="8"/>
  <c r="U279" i="8"/>
  <c r="U275" i="8"/>
  <c r="U271" i="8"/>
  <c r="U277" i="8"/>
  <c r="U273" i="8"/>
  <c r="U280" i="8"/>
  <c r="U276" i="8"/>
  <c r="U272" i="8"/>
  <c r="U268" i="8"/>
  <c r="U269" i="8"/>
  <c r="M284" i="8"/>
  <c r="M277" i="8"/>
  <c r="M273" i="8"/>
  <c r="M269" i="8"/>
  <c r="M278" i="8"/>
  <c r="M274" i="8"/>
  <c r="M270" i="8"/>
  <c r="M268" i="8"/>
  <c r="M279" i="8"/>
  <c r="M275" i="8"/>
  <c r="M271" i="8"/>
  <c r="M280" i="8"/>
  <c r="M276" i="8"/>
  <c r="M272" i="8"/>
  <c r="O284" i="8"/>
  <c r="O280" i="8"/>
  <c r="O279" i="8"/>
  <c r="O278" i="8"/>
  <c r="O277" i="8"/>
  <c r="O276" i="8"/>
  <c r="O275" i="8"/>
  <c r="O274" i="8"/>
  <c r="O273" i="8"/>
  <c r="O272" i="8"/>
  <c r="O271" i="8"/>
  <c r="O270" i="8"/>
  <c r="O269" i="8"/>
  <c r="O268" i="8"/>
  <c r="N68" i="2"/>
  <c r="T91" i="1"/>
  <c r="T90" i="1"/>
  <c r="AE376" i="8"/>
  <c r="AC423" i="8"/>
  <c r="AC306" i="8"/>
  <c r="AC357" i="8"/>
  <c r="AC55" i="8"/>
  <c r="AC427" i="8"/>
  <c r="AC368" i="8"/>
  <c r="M69" i="7" s="1"/>
  <c r="AC47" i="8"/>
  <c r="AC111" i="8"/>
  <c r="AC23" i="8"/>
  <c r="AC460" i="8"/>
  <c r="AC446" i="8"/>
  <c r="AC448" i="8"/>
  <c r="AC39" i="8"/>
  <c r="AC72" i="8"/>
  <c r="AC305" i="8"/>
  <c r="AC85" i="8"/>
  <c r="AC301" i="8"/>
  <c r="AC35" i="8"/>
  <c r="AC70" i="8"/>
  <c r="AC298" i="8"/>
  <c r="AC30" i="8"/>
  <c r="AC36" i="8"/>
  <c r="AC87" i="8"/>
  <c r="AC365" i="8"/>
  <c r="AC27" i="8"/>
  <c r="AC443" i="8"/>
  <c r="AC63" i="8"/>
  <c r="AC124" i="8"/>
  <c r="M40" i="7" s="1"/>
  <c r="AC120" i="8"/>
  <c r="M36" i="7" s="1"/>
  <c r="AC38" i="8"/>
  <c r="AC86" i="8"/>
  <c r="M24" i="7" s="1"/>
  <c r="AC300" i="8"/>
  <c r="AC41" i="8"/>
  <c r="AC20" i="8"/>
  <c r="AC437" i="8"/>
  <c r="AC435" i="8"/>
  <c r="AC22" i="8"/>
  <c r="AC49" i="8"/>
  <c r="AC430" i="8"/>
  <c r="AC363" i="8"/>
  <c r="AC65" i="8"/>
  <c r="AC461" i="8"/>
  <c r="AC40" i="8"/>
  <c r="AC307" i="8"/>
  <c r="AC184" i="8"/>
  <c r="AC103" i="8"/>
  <c r="M31" i="7" s="1"/>
  <c r="T89" i="1"/>
  <c r="T88" i="1"/>
  <c r="T87" i="1"/>
  <c r="K105" i="8"/>
  <c r="O192" i="8"/>
  <c r="M192" i="8"/>
  <c r="S192" i="8"/>
  <c r="K192" i="8"/>
  <c r="U192" i="8"/>
  <c r="AE417" i="8"/>
  <c r="AE256" i="8" s="1"/>
  <c r="K69" i="8"/>
  <c r="M69" i="8"/>
  <c r="E136" i="6"/>
  <c r="S105" i="8"/>
  <c r="O105" i="8"/>
  <c r="I22" i="3"/>
  <c r="AG392" i="8" s="1"/>
  <c r="Q105" i="8"/>
  <c r="W256" i="8"/>
  <c r="S125" i="8"/>
  <c r="T68" i="2"/>
  <c r="T92" i="1"/>
  <c r="N20" i="2"/>
  <c r="N18" i="2"/>
  <c r="N19" i="2"/>
  <c r="N22" i="2"/>
  <c r="I215" i="8"/>
  <c r="A229" i="8" s="1"/>
  <c r="O125" i="8"/>
  <c r="Q125" i="8"/>
  <c r="S69" i="8"/>
  <c r="M125" i="8"/>
  <c r="Q69" i="8"/>
  <c r="U69" i="8"/>
  <c r="W54" i="8"/>
  <c r="W57" i="8" s="1"/>
  <c r="Y54" i="8"/>
  <c r="Y57" i="8" s="1"/>
  <c r="AA54" i="8"/>
  <c r="AA57" i="8" s="1"/>
  <c r="AC54" i="8"/>
  <c r="I57" i="8"/>
  <c r="M434" i="8"/>
  <c r="K434" i="8"/>
  <c r="I432" i="8"/>
  <c r="Q434" i="8"/>
  <c r="O434" i="8"/>
  <c r="I433" i="8"/>
  <c r="S434" i="8"/>
  <c r="U434" i="8"/>
  <c r="J28" i="10"/>
  <c r="AI416" i="8"/>
  <c r="AJ416" i="8" s="1"/>
  <c r="W103" i="8"/>
  <c r="G20" i="2"/>
  <c r="G21" i="2" s="1"/>
  <c r="K18" i="2" s="1"/>
  <c r="V45" i="1" s="1"/>
  <c r="E42" i="2"/>
  <c r="I42" i="2" s="1"/>
  <c r="E12" i="7"/>
  <c r="F19" i="16"/>
  <c r="F23" i="16"/>
  <c r="F22" i="16"/>
  <c r="F20" i="16"/>
  <c r="C21" i="2"/>
  <c r="C24" i="2" s="1"/>
  <c r="R93" i="10"/>
  <c r="P105" i="10"/>
  <c r="R105" i="10" s="1"/>
  <c r="Q365" i="8"/>
  <c r="Q36" i="8"/>
  <c r="Q39" i="8"/>
  <c r="Q40" i="8"/>
  <c r="Q357" i="8"/>
  <c r="Q184" i="8"/>
  <c r="Q38" i="8"/>
  <c r="Q423" i="8"/>
  <c r="Q30" i="8"/>
  <c r="Q20" i="8"/>
  <c r="Q27" i="8"/>
  <c r="Q23" i="8"/>
  <c r="Q41" i="8"/>
  <c r="Q22" i="8"/>
  <c r="Q35" i="8"/>
  <c r="R71" i="1"/>
  <c r="O380" i="8"/>
  <c r="O65" i="8" s="1"/>
  <c r="G80" i="2"/>
  <c r="C83" i="2"/>
  <c r="AA70" i="1"/>
  <c r="N105" i="10"/>
  <c r="N28" i="10"/>
  <c r="E80" i="7"/>
  <c r="I20" i="3"/>
  <c r="I41" i="3"/>
  <c r="I19" i="3"/>
  <c r="I21" i="3"/>
  <c r="I40" i="3"/>
  <c r="I39" i="3"/>
  <c r="I38" i="3"/>
  <c r="I18" i="3"/>
  <c r="AA69" i="1"/>
  <c r="R70" i="1"/>
  <c r="M380" i="8"/>
  <c r="M65" i="8" s="1"/>
  <c r="U365" i="8"/>
  <c r="U357" i="8"/>
  <c r="U30" i="8"/>
  <c r="U20" i="8"/>
  <c r="U41" i="8"/>
  <c r="U36" i="8"/>
  <c r="U27" i="8"/>
  <c r="U22" i="8"/>
  <c r="U23" i="8"/>
  <c r="U423" i="8"/>
  <c r="U35" i="8"/>
  <c r="U38" i="8"/>
  <c r="U40" i="8"/>
  <c r="U39" i="8"/>
  <c r="U184" i="8"/>
  <c r="F26" i="1"/>
  <c r="H110" i="10"/>
  <c r="H115" i="10" s="1"/>
  <c r="U381" i="8"/>
  <c r="S381" i="8"/>
  <c r="O381" i="8"/>
  <c r="R72" i="1"/>
  <c r="Q380" i="8"/>
  <c r="Q65" i="8" s="1"/>
  <c r="F21" i="16"/>
  <c r="S357" i="8"/>
  <c r="S38" i="8"/>
  <c r="S184" i="8"/>
  <c r="S36" i="8"/>
  <c r="S39" i="8"/>
  <c r="S365" i="8"/>
  <c r="S23" i="8"/>
  <c r="S30" i="8"/>
  <c r="S41" i="8"/>
  <c r="S423" i="8"/>
  <c r="S22" i="8"/>
  <c r="S20" i="8"/>
  <c r="S27" i="8"/>
  <c r="S35" i="8"/>
  <c r="S40" i="8"/>
  <c r="S380" i="8"/>
  <c r="S65" i="8" s="1"/>
  <c r="R73" i="1"/>
  <c r="I37" i="3"/>
  <c r="Y394" i="8" s="1"/>
  <c r="Q63" i="11"/>
  <c r="Z66" i="2"/>
  <c r="K379" i="8"/>
  <c r="K26" i="1"/>
  <c r="I39" i="2"/>
  <c r="K380" i="8"/>
  <c r="R69" i="1"/>
  <c r="V26" i="1"/>
  <c r="Q95" i="1"/>
  <c r="R95" i="1"/>
  <c r="T67" i="1" s="1"/>
  <c r="X67" i="1" s="1"/>
  <c r="X74" i="1" s="1"/>
  <c r="J105" i="10"/>
  <c r="Q381" i="8"/>
  <c r="M365" i="8"/>
  <c r="M357" i="8"/>
  <c r="M184" i="8"/>
  <c r="M36" i="8"/>
  <c r="M30" i="8"/>
  <c r="M27" i="8"/>
  <c r="M20" i="8"/>
  <c r="M23" i="8"/>
  <c r="M423" i="8"/>
  <c r="M22" i="8"/>
  <c r="M41" i="8"/>
  <c r="M40" i="8"/>
  <c r="M39" i="8"/>
  <c r="M35" i="8"/>
  <c r="M38" i="8"/>
  <c r="O184" i="8"/>
  <c r="O36" i="8"/>
  <c r="O365" i="8"/>
  <c r="O357" i="8"/>
  <c r="O20" i="8"/>
  <c r="O30" i="8"/>
  <c r="O27" i="8"/>
  <c r="O41" i="8"/>
  <c r="O22" i="8"/>
  <c r="O23" i="8"/>
  <c r="O423" i="8"/>
  <c r="O40" i="8"/>
  <c r="O39" i="8"/>
  <c r="O38" i="8"/>
  <c r="O35" i="8"/>
  <c r="W394" i="8"/>
  <c r="R74" i="1"/>
  <c r="U380" i="8"/>
  <c r="U65" i="8" s="1"/>
  <c r="K39" i="8"/>
  <c r="K365" i="8"/>
  <c r="K36" i="8"/>
  <c r="K38" i="8"/>
  <c r="K30" i="8"/>
  <c r="AI378" i="8"/>
  <c r="AJ378" i="8" s="1"/>
  <c r="K23" i="8"/>
  <c r="K41" i="8"/>
  <c r="K357" i="8"/>
  <c r="K423" i="8"/>
  <c r="K27" i="8"/>
  <c r="K20" i="8"/>
  <c r="K22" i="8"/>
  <c r="K35" i="8"/>
  <c r="K184" i="8"/>
  <c r="K40" i="8"/>
  <c r="X42" i="1"/>
  <c r="Q51" i="1"/>
  <c r="R44" i="1" s="1"/>
  <c r="AC393" i="8"/>
  <c r="AE393" i="8"/>
  <c r="Q458" i="8"/>
  <c r="O458" i="8"/>
  <c r="U458" i="8"/>
  <c r="S458" i="8"/>
  <c r="Y458" i="8"/>
  <c r="W458" i="8"/>
  <c r="K458" i="8"/>
  <c r="AC458" i="8"/>
  <c r="AA458" i="8"/>
  <c r="M458" i="8"/>
  <c r="L33" i="10"/>
  <c r="P31" i="10"/>
  <c r="P33" i="10" s="1"/>
  <c r="R33" i="10" s="1"/>
  <c r="K125" i="8"/>
  <c r="W81" i="8"/>
  <c r="Y81" i="8"/>
  <c r="AC81" i="8"/>
  <c r="AA81" i="8"/>
  <c r="I92" i="8"/>
  <c r="I24" i="8"/>
  <c r="W19" i="8"/>
  <c r="W24" i="8" s="1"/>
  <c r="M19" i="8"/>
  <c r="O19" i="8"/>
  <c r="AC19" i="8"/>
  <c r="Y19" i="8"/>
  <c r="Y24" i="8" s="1"/>
  <c r="AE19" i="8"/>
  <c r="S19" i="8"/>
  <c r="Q19" i="8"/>
  <c r="U19" i="8"/>
  <c r="AA19" i="8"/>
  <c r="AA24" i="8" s="1"/>
  <c r="K19" i="8"/>
  <c r="I42" i="8"/>
  <c r="Q34" i="8"/>
  <c r="AC34" i="8"/>
  <c r="W34" i="8"/>
  <c r="W42" i="8" s="1"/>
  <c r="AA34" i="8"/>
  <c r="AA42" i="8" s="1"/>
  <c r="Y34" i="8"/>
  <c r="Y42" i="8" s="1"/>
  <c r="O34" i="8"/>
  <c r="U34" i="8"/>
  <c r="S34" i="8"/>
  <c r="M34" i="8"/>
  <c r="K34" i="8"/>
  <c r="AC67" i="8"/>
  <c r="M19" i="7" s="1"/>
  <c r="I77" i="8"/>
  <c r="AA67" i="8"/>
  <c r="K19" i="7" s="1"/>
  <c r="W67" i="8"/>
  <c r="G19" i="7" s="1"/>
  <c r="Y67" i="8"/>
  <c r="I19" i="7" s="1"/>
  <c r="B66" i="8"/>
  <c r="P108" i="10"/>
  <c r="L110" i="10"/>
  <c r="L115" i="10" s="1"/>
  <c r="M37" i="7"/>
  <c r="K37" i="7"/>
  <c r="AA125" i="8"/>
  <c r="Y436" i="8"/>
  <c r="Y447" i="8"/>
  <c r="Y86" i="8"/>
  <c r="AI390" i="8"/>
  <c r="AJ390" i="8" s="1"/>
  <c r="Y71" i="8"/>
  <c r="I201" i="8"/>
  <c r="B187" i="8"/>
  <c r="AC302" i="8"/>
  <c r="AA302" i="8"/>
  <c r="Y302" i="8"/>
  <c r="W302" i="8"/>
  <c r="I317" i="8"/>
  <c r="I334" i="8" s="1"/>
  <c r="I360" i="8" s="1"/>
  <c r="K17" i="2" l="1"/>
  <c r="L16" i="16"/>
  <c r="H18" i="16"/>
  <c r="T69" i="1"/>
  <c r="V44" i="1"/>
  <c r="X44" i="1" s="1"/>
  <c r="R47" i="1"/>
  <c r="T47" i="1" s="1"/>
  <c r="T44" i="1"/>
  <c r="B216" i="8"/>
  <c r="I232" i="8"/>
  <c r="A233" i="8" s="1"/>
  <c r="AE81" i="8"/>
  <c r="AE425" i="8"/>
  <c r="AE422" i="8"/>
  <c r="AE424" i="8"/>
  <c r="I475" i="8"/>
  <c r="I480" i="8" s="1"/>
  <c r="AC168" i="8"/>
  <c r="AE34" i="8"/>
  <c r="AE37" i="8"/>
  <c r="AE171" i="8"/>
  <c r="AE164" i="8"/>
  <c r="AE162" i="8"/>
  <c r="AE158" i="8"/>
  <c r="AE178" i="8"/>
  <c r="AE180" i="8"/>
  <c r="AE299" i="8"/>
  <c r="AE165" i="8"/>
  <c r="AE159" i="8"/>
  <c r="AE177" i="8"/>
  <c r="AE179" i="8"/>
  <c r="AE166" i="8"/>
  <c r="AE174" i="8"/>
  <c r="AE175" i="8"/>
  <c r="AE167" i="8"/>
  <c r="AE163" i="8"/>
  <c r="AE160" i="8"/>
  <c r="AE176" i="8"/>
  <c r="AE161" i="8"/>
  <c r="AE157" i="8"/>
  <c r="AE185" i="8"/>
  <c r="AE302" i="8"/>
  <c r="AE67" i="8"/>
  <c r="O19" i="7" s="1"/>
  <c r="AE54" i="8"/>
  <c r="AE458" i="8"/>
  <c r="AC181" i="8"/>
  <c r="AC31" i="8"/>
  <c r="U31" i="8"/>
  <c r="U168" i="8"/>
  <c r="K168" i="8"/>
  <c r="O168" i="8"/>
  <c r="S168" i="8"/>
  <c r="Q168" i="8"/>
  <c r="M168" i="8"/>
  <c r="B202" i="8"/>
  <c r="Q281" i="8"/>
  <c r="O281" i="8"/>
  <c r="M281" i="8"/>
  <c r="AC281" i="8"/>
  <c r="AE284" i="8"/>
  <c r="AE280" i="8"/>
  <c r="AE279" i="8"/>
  <c r="AE278" i="8"/>
  <c r="AE277" i="8"/>
  <c r="AE276" i="8"/>
  <c r="AE275" i="8"/>
  <c r="AE274" i="8"/>
  <c r="AE273" i="8"/>
  <c r="AE272" i="8"/>
  <c r="AE271" i="8"/>
  <c r="AE270" i="8"/>
  <c r="AE269" i="8"/>
  <c r="AE268" i="8"/>
  <c r="AE294" i="8"/>
  <c r="AE293" i="8"/>
  <c r="AE292" i="8"/>
  <c r="AE291" i="8"/>
  <c r="AE290" i="8"/>
  <c r="AE289" i="8"/>
  <c r="AE288" i="8"/>
  <c r="AE287" i="8"/>
  <c r="K281" i="8"/>
  <c r="AC24" i="8"/>
  <c r="U281" i="8"/>
  <c r="AC295" i="8"/>
  <c r="S281" i="8"/>
  <c r="AC42" i="8"/>
  <c r="AC57" i="8"/>
  <c r="M34" i="7"/>
  <c r="AC51" i="8"/>
  <c r="AE423" i="8"/>
  <c r="AG376" i="8"/>
  <c r="AE306" i="8"/>
  <c r="AE357" i="8"/>
  <c r="AE30" i="8"/>
  <c r="AE87" i="8"/>
  <c r="AE41" i="8"/>
  <c r="AE72" i="8"/>
  <c r="AE65" i="8"/>
  <c r="AE435" i="8"/>
  <c r="AE70" i="8"/>
  <c r="AE40" i="8"/>
  <c r="AE301" i="8"/>
  <c r="AE300" i="8"/>
  <c r="AE111" i="8"/>
  <c r="O34" i="7" s="1"/>
  <c r="AE63" i="8"/>
  <c r="AE305" i="8"/>
  <c r="AE35" i="8"/>
  <c r="AE49" i="8"/>
  <c r="AE448" i="8"/>
  <c r="AE363" i="8"/>
  <c r="AE443" i="8"/>
  <c r="AE461" i="8"/>
  <c r="AE23" i="8"/>
  <c r="AE460" i="8"/>
  <c r="AE307" i="8"/>
  <c r="AE446" i="8"/>
  <c r="AE124" i="8"/>
  <c r="O40" i="7" s="1"/>
  <c r="AE38" i="8"/>
  <c r="AE365" i="8"/>
  <c r="AE36" i="8"/>
  <c r="AE27" i="8"/>
  <c r="AE368" i="8"/>
  <c r="O69" i="7" s="1"/>
  <c r="AE430" i="8"/>
  <c r="AE55" i="8"/>
  <c r="AE47" i="8"/>
  <c r="AE437" i="8"/>
  <c r="AE120" i="8"/>
  <c r="AE39" i="8"/>
  <c r="AE85" i="8"/>
  <c r="AE298" i="8"/>
  <c r="AE22" i="8"/>
  <c r="AE184" i="8"/>
  <c r="AE20" i="8"/>
  <c r="AE427" i="8"/>
  <c r="AE436" i="8"/>
  <c r="AE426" i="8"/>
  <c r="AE123" i="8"/>
  <c r="O39" i="7" s="1"/>
  <c r="AE121" i="8"/>
  <c r="O37" i="7" s="1"/>
  <c r="AE444" i="8"/>
  <c r="AE191" i="8"/>
  <c r="AE187" i="8"/>
  <c r="AE71" i="8"/>
  <c r="O21" i="7" s="1"/>
  <c r="AE86" i="8"/>
  <c r="O24" i="7" s="1"/>
  <c r="AE190" i="8"/>
  <c r="AE82" i="8"/>
  <c r="AE445" i="8"/>
  <c r="AE186" i="8"/>
  <c r="AE428" i="8"/>
  <c r="AE447" i="8"/>
  <c r="AE103" i="8"/>
  <c r="O31" i="7" s="1"/>
  <c r="AC125" i="8"/>
  <c r="AI417" i="8"/>
  <c r="AJ417" i="8" s="1"/>
  <c r="E44" i="2"/>
  <c r="L38" i="10"/>
  <c r="N24" i="2"/>
  <c r="P110" i="10"/>
  <c r="R110" i="10" s="1"/>
  <c r="I43" i="3"/>
  <c r="H19" i="16"/>
  <c r="H20" i="16"/>
  <c r="X45" i="1"/>
  <c r="B434" i="8"/>
  <c r="Y432" i="8"/>
  <c r="AA432" i="8"/>
  <c r="AE432" i="8"/>
  <c r="AC432" i="8"/>
  <c r="W432" i="8"/>
  <c r="AA433" i="8"/>
  <c r="AE433" i="8"/>
  <c r="Y433" i="8"/>
  <c r="W433" i="8"/>
  <c r="AC433" i="8"/>
  <c r="U24" i="8"/>
  <c r="W44" i="8"/>
  <c r="G31" i="7"/>
  <c r="M42" i="8"/>
  <c r="M24" i="8"/>
  <c r="Q31" i="8"/>
  <c r="U42" i="8"/>
  <c r="O31" i="8"/>
  <c r="AA393" i="8"/>
  <c r="K65" i="8"/>
  <c r="AI380" i="8"/>
  <c r="AJ380" i="8" s="1"/>
  <c r="K363" i="8"/>
  <c r="AI379" i="8"/>
  <c r="AJ379" i="8" s="1"/>
  <c r="W392" i="8"/>
  <c r="I24" i="3"/>
  <c r="K42" i="8"/>
  <c r="AG104" i="8"/>
  <c r="Q32" i="7" s="1"/>
  <c r="R46" i="1"/>
  <c r="T46" i="1" s="1"/>
  <c r="R48" i="1"/>
  <c r="T48" i="1" s="1"/>
  <c r="R49" i="1"/>
  <c r="T49" i="1" s="1"/>
  <c r="R45" i="1"/>
  <c r="Y120" i="8"/>
  <c r="Y461" i="8"/>
  <c r="Y460" i="8"/>
  <c r="Y368" i="8"/>
  <c r="I69" i="7" s="1"/>
  <c r="Y123" i="8"/>
  <c r="I39" i="7" s="1"/>
  <c r="Y124" i="8"/>
  <c r="I40" i="7" s="1"/>
  <c r="Y121" i="8"/>
  <c r="I37" i="7" s="1"/>
  <c r="H21" i="16"/>
  <c r="AA392" i="8"/>
  <c r="AA456" i="8" s="1"/>
  <c r="F25" i="16"/>
  <c r="AE392" i="8"/>
  <c r="AE456" i="8" s="1"/>
  <c r="O42" i="8"/>
  <c r="Q24" i="8"/>
  <c r="K31" i="8"/>
  <c r="T74" i="1"/>
  <c r="Z74" i="1" s="1"/>
  <c r="U384" i="8" s="1"/>
  <c r="I44" i="2"/>
  <c r="K39" i="2" s="1"/>
  <c r="T73" i="1"/>
  <c r="H22" i="16"/>
  <c r="K20" i="2"/>
  <c r="V47" i="1" s="1"/>
  <c r="X47" i="1" s="1"/>
  <c r="AA72" i="1"/>
  <c r="AA76" i="1" s="1"/>
  <c r="W120" i="8"/>
  <c r="AI394" i="8"/>
  <c r="AJ394" i="8" s="1"/>
  <c r="W461" i="8"/>
  <c r="W460" i="8"/>
  <c r="W368" i="8"/>
  <c r="W124" i="8"/>
  <c r="W123" i="8"/>
  <c r="W121" i="8"/>
  <c r="K381" i="8"/>
  <c r="AI381" i="8" s="1"/>
  <c r="AJ381" i="8" s="1"/>
  <c r="T70" i="1"/>
  <c r="K19" i="2"/>
  <c r="V46" i="1" s="1"/>
  <c r="X46" i="1" s="1"/>
  <c r="G24" i="2"/>
  <c r="I17" i="2" s="1"/>
  <c r="S42" i="8"/>
  <c r="Q42" i="8"/>
  <c r="K24" i="8"/>
  <c r="S24" i="8"/>
  <c r="O24" i="8"/>
  <c r="X48" i="1"/>
  <c r="X49" i="1"/>
  <c r="M31" i="8"/>
  <c r="R76" i="1"/>
  <c r="AA63" i="2"/>
  <c r="S31" i="8"/>
  <c r="T72" i="1"/>
  <c r="Y392" i="8"/>
  <c r="Y456" i="8" s="1"/>
  <c r="AC392" i="8"/>
  <c r="AC456" i="8" s="1"/>
  <c r="T71" i="1"/>
  <c r="H23" i="16"/>
  <c r="Y44" i="8"/>
  <c r="I94" i="8"/>
  <c r="AA44" i="8"/>
  <c r="I44" i="8"/>
  <c r="I24" i="7"/>
  <c r="I21" i="7"/>
  <c r="AE57" i="8" l="1"/>
  <c r="B232" i="8"/>
  <c r="AG425" i="8"/>
  <c r="AG422" i="8"/>
  <c r="AG424" i="8"/>
  <c r="AI424" i="8" s="1"/>
  <c r="AG346" i="8"/>
  <c r="AG112" i="8"/>
  <c r="AG454" i="8"/>
  <c r="AE168" i="8"/>
  <c r="AE181" i="8"/>
  <c r="AG37" i="8"/>
  <c r="AG171" i="8"/>
  <c r="AI171" i="8" s="1"/>
  <c r="AG299" i="8"/>
  <c r="AG178" i="8"/>
  <c r="AG165" i="8"/>
  <c r="AI165" i="8" s="1"/>
  <c r="AG164" i="8"/>
  <c r="AI164" i="8" s="1"/>
  <c r="AG162" i="8"/>
  <c r="AI162" i="8" s="1"/>
  <c r="AG158" i="8"/>
  <c r="AI158" i="8" s="1"/>
  <c r="AG180" i="8"/>
  <c r="AG159" i="8"/>
  <c r="AI159" i="8" s="1"/>
  <c r="AG177" i="8"/>
  <c r="AG179" i="8"/>
  <c r="AG166" i="8"/>
  <c r="AI166" i="8" s="1"/>
  <c r="AG176" i="8"/>
  <c r="AG175" i="8"/>
  <c r="AG157" i="8"/>
  <c r="AG161" i="8"/>
  <c r="AI161" i="8" s="1"/>
  <c r="AG174" i="8"/>
  <c r="AG160" i="8"/>
  <c r="AI160" i="8" s="1"/>
  <c r="AG167" i="8"/>
  <c r="AI167" i="8" s="1"/>
  <c r="AG163" i="8"/>
  <c r="AI163" i="8" s="1"/>
  <c r="AG185" i="8"/>
  <c r="B5" i="20"/>
  <c r="D5" i="20" s="1"/>
  <c r="AC44" i="8"/>
  <c r="AG284" i="8"/>
  <c r="AI284" i="8" s="1"/>
  <c r="AG280" i="8"/>
  <c r="AI280" i="8" s="1"/>
  <c r="AG279" i="8"/>
  <c r="AI279" i="8" s="1"/>
  <c r="AG278" i="8"/>
  <c r="AI278" i="8" s="1"/>
  <c r="AG277" i="8"/>
  <c r="AI277" i="8" s="1"/>
  <c r="AG276" i="8"/>
  <c r="AI276" i="8" s="1"/>
  <c r="AG275" i="8"/>
  <c r="AI275" i="8" s="1"/>
  <c r="AG274" i="8"/>
  <c r="AI274" i="8" s="1"/>
  <c r="AG273" i="8"/>
  <c r="AI273" i="8" s="1"/>
  <c r="AG272" i="8"/>
  <c r="AI272" i="8" s="1"/>
  <c r="AG271" i="8"/>
  <c r="AI271" i="8" s="1"/>
  <c r="AG270" i="8"/>
  <c r="AI270" i="8" s="1"/>
  <c r="AG269" i="8"/>
  <c r="AI269" i="8" s="1"/>
  <c r="AG268" i="8"/>
  <c r="AG294" i="8"/>
  <c r="AG293" i="8"/>
  <c r="AG292" i="8"/>
  <c r="AG291" i="8"/>
  <c r="AG290" i="8"/>
  <c r="AG289" i="8"/>
  <c r="AG288" i="8"/>
  <c r="AG287" i="8"/>
  <c r="AG99" i="8"/>
  <c r="Q27" i="7" s="1"/>
  <c r="AG457" i="8"/>
  <c r="AG101" i="8"/>
  <c r="Q29" i="7" s="1"/>
  <c r="AG455" i="8"/>
  <c r="AG453" i="8"/>
  <c r="AG110" i="8"/>
  <c r="Q33" i="7" s="1"/>
  <c r="AG432" i="8"/>
  <c r="AE295" i="8"/>
  <c r="AE281" i="8"/>
  <c r="AG225" i="8"/>
  <c r="AG459" i="8"/>
  <c r="AG100" i="8"/>
  <c r="Q28" i="7" s="1"/>
  <c r="AG433" i="8"/>
  <c r="I372" i="8"/>
  <c r="O168" i="22"/>
  <c r="O169" i="22" s="1"/>
  <c r="B6" i="20"/>
  <c r="D6" i="20" s="1"/>
  <c r="AE42" i="8"/>
  <c r="AE31" i="8"/>
  <c r="AE24" i="8"/>
  <c r="O36" i="7"/>
  <c r="AE125" i="8"/>
  <c r="AG365" i="8"/>
  <c r="AI365" i="8" s="1"/>
  <c r="AG357" i="8"/>
  <c r="AI357" i="8" s="1"/>
  <c r="AG306" i="8"/>
  <c r="AG423" i="8"/>
  <c r="AI423" i="8" s="1"/>
  <c r="AG120" i="8"/>
  <c r="AG435" i="8"/>
  <c r="AG30" i="8"/>
  <c r="AI30" i="8" s="1"/>
  <c r="AG437" i="8"/>
  <c r="AG49" i="8"/>
  <c r="AG363" i="8"/>
  <c r="AI363" i="8" s="1"/>
  <c r="AG65" i="8"/>
  <c r="AI65" i="8" s="1"/>
  <c r="AG298" i="8"/>
  <c r="AG184" i="8"/>
  <c r="AI184" i="8" s="1"/>
  <c r="AG39" i="8"/>
  <c r="AI39" i="8" s="1"/>
  <c r="AG47" i="8"/>
  <c r="AG63" i="8"/>
  <c r="AG461" i="8"/>
  <c r="AI461" i="8" s="1"/>
  <c r="AG36" i="8"/>
  <c r="AI36" i="8" s="1"/>
  <c r="AG55" i="8"/>
  <c r="AG41" i="8"/>
  <c r="AI41" i="8" s="1"/>
  <c r="AG72" i="8"/>
  <c r="AG38" i="8"/>
  <c r="AI38" i="8" s="1"/>
  <c r="AG20" i="8"/>
  <c r="AI20" i="8" s="1"/>
  <c r="AG111" i="8"/>
  <c r="Q34" i="7" s="1"/>
  <c r="E34" i="7" s="1"/>
  <c r="AG124" i="8"/>
  <c r="Q40" i="7" s="1"/>
  <c r="AG27" i="8"/>
  <c r="AG85" i="8"/>
  <c r="AG307" i="8"/>
  <c r="AG300" i="8"/>
  <c r="AG430" i="8"/>
  <c r="AG40" i="8"/>
  <c r="AI40" i="8" s="1"/>
  <c r="AG87" i="8"/>
  <c r="AG448" i="8"/>
  <c r="AG35" i="8"/>
  <c r="AI35" i="8" s="1"/>
  <c r="AG446" i="8"/>
  <c r="AG70" i="8"/>
  <c r="AG368" i="8"/>
  <c r="Q69" i="7" s="1"/>
  <c r="AG301" i="8"/>
  <c r="AG305" i="8"/>
  <c r="AG443" i="8"/>
  <c r="AG22" i="8"/>
  <c r="AI22" i="8" s="1"/>
  <c r="AG23" i="8"/>
  <c r="AI23" i="8" s="1"/>
  <c r="AG427" i="8"/>
  <c r="AG460" i="8"/>
  <c r="AI460" i="8" s="1"/>
  <c r="AG428" i="8"/>
  <c r="AG436" i="8"/>
  <c r="AI436" i="8" s="1"/>
  <c r="AG123" i="8"/>
  <c r="Q39" i="7" s="1"/>
  <c r="AG447" i="8"/>
  <c r="AI447" i="8" s="1"/>
  <c r="AG426" i="8"/>
  <c r="AG86" i="8"/>
  <c r="AG444" i="8"/>
  <c r="AG190" i="8"/>
  <c r="AG82" i="8"/>
  <c r="AG121" i="8"/>
  <c r="Q37" i="7" s="1"/>
  <c r="AG445" i="8"/>
  <c r="AG186" i="8"/>
  <c r="AG187" i="8"/>
  <c r="AG103" i="8"/>
  <c r="AG71" i="8"/>
  <c r="Q21" i="7" s="1"/>
  <c r="E21" i="7" s="1"/>
  <c r="AG191" i="8"/>
  <c r="AG256" i="8"/>
  <c r="AI256" i="8" s="1"/>
  <c r="AG67" i="8"/>
  <c r="Q19" i="7" s="1"/>
  <c r="E19" i="7" s="1"/>
  <c r="AG19" i="8"/>
  <c r="AG54" i="8"/>
  <c r="AG458" i="8"/>
  <c r="AI458" i="8" s="1"/>
  <c r="AG34" i="8"/>
  <c r="AG81" i="8"/>
  <c r="AG302" i="8"/>
  <c r="AG456" i="8"/>
  <c r="AE51" i="8"/>
  <c r="Z46" i="1"/>
  <c r="O383" i="8" s="1"/>
  <c r="W456" i="8"/>
  <c r="W110" i="8"/>
  <c r="I20" i="2"/>
  <c r="Q382" i="8" s="1"/>
  <c r="Z47" i="1"/>
  <c r="Q383" i="8" s="1"/>
  <c r="K42" i="2"/>
  <c r="Q387" i="8" s="1"/>
  <c r="T45" i="1"/>
  <c r="Z45" i="1" s="1"/>
  <c r="M383" i="8" s="1"/>
  <c r="Q44" i="8"/>
  <c r="U44" i="8"/>
  <c r="M44" i="8"/>
  <c r="S44" i="8"/>
  <c r="T76" i="1"/>
  <c r="G39" i="7"/>
  <c r="AE112" i="8"/>
  <c r="AE99" i="8"/>
  <c r="AE100" i="8"/>
  <c r="O28" i="7" s="1"/>
  <c r="AE104" i="8"/>
  <c r="O32" i="7" s="1"/>
  <c r="AE459" i="8"/>
  <c r="AE101" i="8"/>
  <c r="O29" i="7" s="1"/>
  <c r="AE454" i="8"/>
  <c r="AE457" i="8"/>
  <c r="AE453" i="8"/>
  <c r="AE455" i="8"/>
  <c r="AE225" i="8"/>
  <c r="AE346" i="8"/>
  <c r="AE110" i="8"/>
  <c r="H25" i="16"/>
  <c r="AA101" i="8"/>
  <c r="K29" i="7" s="1"/>
  <c r="AA459" i="8"/>
  <c r="AA455" i="8"/>
  <c r="AA453" i="8"/>
  <c r="AA104" i="8"/>
  <c r="K32" i="7" s="1"/>
  <c r="AA454" i="8"/>
  <c r="AA110" i="8"/>
  <c r="AA457" i="8"/>
  <c r="AA225" i="8"/>
  <c r="AA99" i="8"/>
  <c r="AA100" i="8"/>
  <c r="K28" i="7" s="1"/>
  <c r="AA112" i="8"/>
  <c r="AA346" i="8"/>
  <c r="Z49" i="1"/>
  <c r="U383" i="8" s="1"/>
  <c r="S387" i="8"/>
  <c r="G37" i="7"/>
  <c r="O44" i="8"/>
  <c r="Y101" i="8"/>
  <c r="I29" i="7" s="1"/>
  <c r="Y112" i="8"/>
  <c r="Y455" i="8"/>
  <c r="Y457" i="8"/>
  <c r="Y104" i="8"/>
  <c r="I32" i="7" s="1"/>
  <c r="Y454" i="8"/>
  <c r="Y453" i="8"/>
  <c r="Y459" i="8"/>
  <c r="Y225" i="8"/>
  <c r="Y346" i="8"/>
  <c r="Y110" i="8"/>
  <c r="Y99" i="8"/>
  <c r="Y100" i="8"/>
  <c r="I28" i="7" s="1"/>
  <c r="I22" i="2"/>
  <c r="I19" i="2"/>
  <c r="I18" i="2"/>
  <c r="G40" i="7"/>
  <c r="J18" i="16"/>
  <c r="L18" i="16" s="1"/>
  <c r="I36" i="7"/>
  <c r="Y125" i="8"/>
  <c r="Z48" i="1"/>
  <c r="S383" i="8" s="1"/>
  <c r="AC104" i="8"/>
  <c r="M32" i="7" s="1"/>
  <c r="AC101" i="8"/>
  <c r="M29" i="7" s="1"/>
  <c r="AC457" i="8"/>
  <c r="AC112" i="8"/>
  <c r="AC455" i="8"/>
  <c r="AC459" i="8"/>
  <c r="AC453" i="8"/>
  <c r="AC225" i="8"/>
  <c r="AC99" i="8"/>
  <c r="AC110" i="8"/>
  <c r="AC346" i="8"/>
  <c r="AC100" i="8"/>
  <c r="M28" i="7" s="1"/>
  <c r="AC454" i="8"/>
  <c r="AA66" i="2"/>
  <c r="AB66" i="2" s="1"/>
  <c r="AA65" i="2"/>
  <c r="AB65" i="2" s="1"/>
  <c r="AA64" i="2"/>
  <c r="AB64" i="2" s="1"/>
  <c r="AB63" i="2"/>
  <c r="K44" i="8"/>
  <c r="K21" i="2"/>
  <c r="K24" i="2" s="1"/>
  <c r="L22" i="16"/>
  <c r="N22" i="16" s="1"/>
  <c r="L23" i="16"/>
  <c r="N23" i="16" s="1"/>
  <c r="O47" i="8"/>
  <c r="U70" i="8"/>
  <c r="U448" i="8"/>
  <c r="U437" i="8"/>
  <c r="U85" i="8"/>
  <c r="U72" i="8"/>
  <c r="U430" i="8"/>
  <c r="U87" i="8"/>
  <c r="U446" i="8"/>
  <c r="U435" i="8"/>
  <c r="U63" i="8"/>
  <c r="G69" i="7"/>
  <c r="G36" i="7"/>
  <c r="W125" i="8"/>
  <c r="K41" i="2"/>
  <c r="K40" i="2"/>
  <c r="R51" i="1"/>
  <c r="W101" i="8"/>
  <c r="W104" i="8"/>
  <c r="W100" i="8"/>
  <c r="W455" i="8"/>
  <c r="W453" i="8"/>
  <c r="W454" i="8"/>
  <c r="AI392" i="8"/>
  <c r="AJ392" i="8" s="1"/>
  <c r="W459" i="8"/>
  <c r="W112" i="8"/>
  <c r="W457" i="8"/>
  <c r="W99" i="8"/>
  <c r="W225" i="8"/>
  <c r="W346" i="8"/>
  <c r="B51" i="8"/>
  <c r="C74" i="7" l="1"/>
  <c r="B8" i="20"/>
  <c r="D8" i="20" s="1"/>
  <c r="AG181" i="8"/>
  <c r="AG168" i="8"/>
  <c r="AI168" i="8" s="1"/>
  <c r="AI157" i="8"/>
  <c r="Q178" i="8"/>
  <c r="Q180" i="8"/>
  <c r="Q174" i="8"/>
  <c r="Q176" i="8"/>
  <c r="Q177" i="8"/>
  <c r="Q179" i="8"/>
  <c r="Q175" i="8"/>
  <c r="O175" i="8"/>
  <c r="O177" i="8"/>
  <c r="O179" i="8"/>
  <c r="O174" i="8"/>
  <c r="O176" i="8"/>
  <c r="O178" i="8"/>
  <c r="O180" i="8"/>
  <c r="S175" i="8"/>
  <c r="S179" i="8"/>
  <c r="S174" i="8"/>
  <c r="S178" i="8"/>
  <c r="S177" i="8"/>
  <c r="S176" i="8"/>
  <c r="S180" i="8"/>
  <c r="U175" i="8"/>
  <c r="U179" i="8"/>
  <c r="U174" i="8"/>
  <c r="U178" i="8"/>
  <c r="U177" i="8"/>
  <c r="U176" i="8"/>
  <c r="U180" i="8"/>
  <c r="M174" i="8"/>
  <c r="M178" i="8"/>
  <c r="M177" i="8"/>
  <c r="M176" i="8"/>
  <c r="M180" i="8"/>
  <c r="M175" i="8"/>
  <c r="M179" i="8"/>
  <c r="O426" i="8"/>
  <c r="O294" i="8"/>
  <c r="O293" i="8"/>
  <c r="O292" i="8"/>
  <c r="O291" i="8"/>
  <c r="O290" i="8"/>
  <c r="O289" i="8"/>
  <c r="O288" i="8"/>
  <c r="O287" i="8"/>
  <c r="S292" i="8"/>
  <c r="S288" i="8"/>
  <c r="S289" i="8"/>
  <c r="S291" i="8"/>
  <c r="S287" i="8"/>
  <c r="S294" i="8"/>
  <c r="S290" i="8"/>
  <c r="S293" i="8"/>
  <c r="AG295" i="8"/>
  <c r="AG281" i="8"/>
  <c r="AI281" i="8" s="1"/>
  <c r="AI268" i="8"/>
  <c r="U293" i="8"/>
  <c r="U289" i="8"/>
  <c r="U292" i="8"/>
  <c r="U294" i="8"/>
  <c r="U290" i="8"/>
  <c r="U291" i="8"/>
  <c r="U287" i="8"/>
  <c r="U288" i="8"/>
  <c r="M292" i="8"/>
  <c r="M288" i="8"/>
  <c r="M293" i="8"/>
  <c r="M289" i="8"/>
  <c r="M291" i="8"/>
  <c r="M287" i="8"/>
  <c r="M294" i="8"/>
  <c r="M290" i="8"/>
  <c r="Q426" i="8"/>
  <c r="Q294" i="8"/>
  <c r="Q293" i="8"/>
  <c r="Q292" i="8"/>
  <c r="Q291" i="8"/>
  <c r="Q290" i="8"/>
  <c r="Q289" i="8"/>
  <c r="Q288" i="8"/>
  <c r="Q287" i="8"/>
  <c r="AI123" i="8"/>
  <c r="AG57" i="8"/>
  <c r="E39" i="7"/>
  <c r="AI456" i="8"/>
  <c r="AI368" i="8"/>
  <c r="AI124" i="8"/>
  <c r="E69" i="7"/>
  <c r="E40" i="7"/>
  <c r="O54" i="8"/>
  <c r="O428" i="8"/>
  <c r="O300" i="8"/>
  <c r="O49" i="8"/>
  <c r="O51" i="8" s="1"/>
  <c r="AE44" i="8"/>
  <c r="O188" i="8"/>
  <c r="O55" i="8"/>
  <c r="O427" i="8"/>
  <c r="O303" i="8"/>
  <c r="O412" i="8" s="1"/>
  <c r="C73" i="6" s="1"/>
  <c r="AI71" i="8"/>
  <c r="Q24" i="7"/>
  <c r="E24" i="7" s="1"/>
  <c r="AI86" i="8"/>
  <c r="AG51" i="8"/>
  <c r="AG42" i="8"/>
  <c r="AI34" i="8"/>
  <c r="E37" i="7"/>
  <c r="AI111" i="8"/>
  <c r="AG31" i="8"/>
  <c r="AI31" i="8" s="1"/>
  <c r="AI27" i="8"/>
  <c r="Q31" i="7"/>
  <c r="E31" i="7" s="1"/>
  <c r="AI103" i="8"/>
  <c r="Q36" i="7"/>
  <c r="E36" i="7" s="1"/>
  <c r="AG125" i="8"/>
  <c r="AI125" i="8" s="1"/>
  <c r="AI120" i="8"/>
  <c r="AI121" i="8"/>
  <c r="AG105" i="8"/>
  <c r="AG24" i="8"/>
  <c r="AI24" i="8" s="1"/>
  <c r="AI19" i="8"/>
  <c r="T51" i="1"/>
  <c r="V72" i="1"/>
  <c r="X72" i="1" s="1"/>
  <c r="Z72" i="1" s="1"/>
  <c r="Q384" i="8" s="1"/>
  <c r="Q446" i="8" s="1"/>
  <c r="J21" i="16"/>
  <c r="L21" i="16" s="1"/>
  <c r="N21" i="16" s="1"/>
  <c r="Q385" i="8" s="1"/>
  <c r="Q54" i="8"/>
  <c r="Q49" i="8"/>
  <c r="Q55" i="8"/>
  <c r="Q47" i="8"/>
  <c r="Q188" i="8"/>
  <c r="Q428" i="8"/>
  <c r="Q303" i="8"/>
  <c r="Q412" i="8" s="1"/>
  <c r="C74" i="6" s="1"/>
  <c r="Q300" i="8"/>
  <c r="Q427" i="8"/>
  <c r="M426" i="8"/>
  <c r="M47" i="8"/>
  <c r="M188" i="8"/>
  <c r="M55" i="8"/>
  <c r="M49" i="8"/>
  <c r="M428" i="8"/>
  <c r="M54" i="8"/>
  <c r="M303" i="8"/>
  <c r="M412" i="8" s="1"/>
  <c r="C72" i="6" s="1"/>
  <c r="M300" i="8"/>
  <c r="M427" i="8"/>
  <c r="K44" i="2"/>
  <c r="S426" i="8"/>
  <c r="S427" i="8"/>
  <c r="U427" i="8"/>
  <c r="U426" i="8"/>
  <c r="AI455" i="8"/>
  <c r="AI454" i="8"/>
  <c r="AI346" i="8"/>
  <c r="S47" i="8"/>
  <c r="S49" i="8"/>
  <c r="S300" i="8"/>
  <c r="S428" i="8"/>
  <c r="S55" i="8"/>
  <c r="S54" i="8"/>
  <c r="S188" i="8"/>
  <c r="S303" i="8"/>
  <c r="S412" i="8" s="1"/>
  <c r="C75" i="6" s="1"/>
  <c r="G33" i="7"/>
  <c r="AI110" i="8"/>
  <c r="AI457" i="8"/>
  <c r="G28" i="7"/>
  <c r="E28" i="7" s="1"/>
  <c r="AI100" i="8"/>
  <c r="J20" i="16"/>
  <c r="L20" i="16" s="1"/>
  <c r="N20" i="16" s="1"/>
  <c r="O387" i="8"/>
  <c r="V51" i="1"/>
  <c r="AB68" i="2"/>
  <c r="AC66" i="2" s="1"/>
  <c r="M27" i="7"/>
  <c r="AC105" i="8"/>
  <c r="S382" i="8"/>
  <c r="V73" i="1"/>
  <c r="X73" i="1" s="1"/>
  <c r="Z73" i="1" s="1"/>
  <c r="S384" i="8" s="1"/>
  <c r="I27" i="7"/>
  <c r="Y105" i="8"/>
  <c r="U387" i="8"/>
  <c r="K33" i="7"/>
  <c r="O33" i="7"/>
  <c r="AC195" i="8"/>
  <c r="M50" i="7" s="1"/>
  <c r="AC311" i="8"/>
  <c r="M63" i="7" s="1"/>
  <c r="AC196" i="8"/>
  <c r="M51" i="7" s="1"/>
  <c r="AC312" i="8"/>
  <c r="M64" i="7" s="1"/>
  <c r="AI112" i="8"/>
  <c r="AI453" i="8"/>
  <c r="G32" i="7"/>
  <c r="E32" i="7" s="1"/>
  <c r="AI104" i="8"/>
  <c r="S386" i="8"/>
  <c r="S385" i="8"/>
  <c r="V69" i="1"/>
  <c r="X69" i="1" s="1"/>
  <c r="K382" i="8"/>
  <c r="I21" i="2"/>
  <c r="I24" i="2" s="1"/>
  <c r="I33" i="7"/>
  <c r="U47" i="8"/>
  <c r="U55" i="8"/>
  <c r="U49" i="8"/>
  <c r="U428" i="8"/>
  <c r="U300" i="8"/>
  <c r="U54" i="8"/>
  <c r="U188" i="8"/>
  <c r="U303" i="8"/>
  <c r="U412" i="8" s="1"/>
  <c r="C76" i="6" s="1"/>
  <c r="K27" i="7"/>
  <c r="AA105" i="8"/>
  <c r="G27" i="7"/>
  <c r="AI99" i="8"/>
  <c r="W105" i="8"/>
  <c r="J19" i="16"/>
  <c r="L19" i="16" s="1"/>
  <c r="N19" i="16" s="1"/>
  <c r="M387" i="8"/>
  <c r="M33" i="7"/>
  <c r="V71" i="1"/>
  <c r="X71" i="1" s="1"/>
  <c r="Z71" i="1" s="1"/>
  <c r="O384" i="8" s="1"/>
  <c r="O382" i="8"/>
  <c r="O27" i="7"/>
  <c r="AE105" i="8"/>
  <c r="AI225" i="8"/>
  <c r="AI459" i="8"/>
  <c r="G29" i="7"/>
  <c r="E29" i="7" s="1"/>
  <c r="AI101" i="8"/>
  <c r="U385" i="8"/>
  <c r="U386" i="8"/>
  <c r="AE312" i="8"/>
  <c r="O64" i="7" s="1"/>
  <c r="AE196" i="8"/>
  <c r="O51" i="7" s="1"/>
  <c r="AE311" i="8"/>
  <c r="O63" i="7" s="1"/>
  <c r="AE195" i="8"/>
  <c r="O50" i="7" s="1"/>
  <c r="V70" i="1"/>
  <c r="X70" i="1" s="1"/>
  <c r="Z70" i="1" s="1"/>
  <c r="M384" i="8" s="1"/>
  <c r="M382" i="8"/>
  <c r="Q72" i="8" l="1"/>
  <c r="Q386" i="8"/>
  <c r="Q181" i="8"/>
  <c r="U181" i="8"/>
  <c r="O181" i="8"/>
  <c r="M181" i="8"/>
  <c r="S181" i="8"/>
  <c r="O57" i="8"/>
  <c r="U295" i="8"/>
  <c r="M295" i="8"/>
  <c r="S295" i="8"/>
  <c r="Q295" i="8"/>
  <c r="O295" i="8"/>
  <c r="Q63" i="8"/>
  <c r="Q85" i="8"/>
  <c r="Q437" i="8"/>
  <c r="Q448" i="8"/>
  <c r="Q87" i="8"/>
  <c r="Q430" i="8"/>
  <c r="Q70" i="8"/>
  <c r="Q435" i="8"/>
  <c r="AG44" i="8"/>
  <c r="AI44" i="8" s="1"/>
  <c r="AI42" i="8"/>
  <c r="Q51" i="8"/>
  <c r="Q57" i="8"/>
  <c r="M51" i="8"/>
  <c r="M57" i="8"/>
  <c r="AC64" i="2"/>
  <c r="AC63" i="2"/>
  <c r="AC65" i="2"/>
  <c r="E27" i="7"/>
  <c r="U51" i="8"/>
  <c r="S57" i="8"/>
  <c r="O385" i="8"/>
  <c r="O386" i="8"/>
  <c r="AA195" i="8"/>
  <c r="K50" i="7" s="1"/>
  <c r="AA311" i="8"/>
  <c r="K63" i="7" s="1"/>
  <c r="AA196" i="8"/>
  <c r="K51" i="7" s="1"/>
  <c r="AA312" i="8"/>
  <c r="K64" i="7" s="1"/>
  <c r="AI105" i="8"/>
  <c r="U57" i="8"/>
  <c r="J25" i="16"/>
  <c r="O437" i="8"/>
  <c r="O446" i="8"/>
  <c r="O435" i="8"/>
  <c r="O87" i="8"/>
  <c r="O63" i="8"/>
  <c r="O85" i="8"/>
  <c r="O70" i="8"/>
  <c r="O448" i="8"/>
  <c r="O430" i="8"/>
  <c r="O72" i="8"/>
  <c r="V76" i="1"/>
  <c r="AG195" i="8"/>
  <c r="Q50" i="7" s="1"/>
  <c r="AG196" i="8"/>
  <c r="Q51" i="7" s="1"/>
  <c r="AG311" i="8"/>
  <c r="Q63" i="7" s="1"/>
  <c r="AG312" i="8"/>
  <c r="Q64" i="7" s="1"/>
  <c r="L25" i="16"/>
  <c r="N18" i="16"/>
  <c r="X51" i="1"/>
  <c r="Z44" i="1"/>
  <c r="E33" i="7"/>
  <c r="M385" i="8"/>
  <c r="M386" i="8"/>
  <c r="S444" i="8"/>
  <c r="S82" i="8"/>
  <c r="S432" i="8"/>
  <c r="S187" i="8"/>
  <c r="S302" i="8"/>
  <c r="S414" i="8" s="1"/>
  <c r="S67" i="8"/>
  <c r="M70" i="8"/>
  <c r="M87" i="8"/>
  <c r="M85" i="8"/>
  <c r="M435" i="8"/>
  <c r="M430" i="8"/>
  <c r="M446" i="8"/>
  <c r="M448" i="8"/>
  <c r="M437" i="8"/>
  <c r="M63" i="8"/>
  <c r="M72" i="8"/>
  <c r="U444" i="8"/>
  <c r="U432" i="8"/>
  <c r="U187" i="8"/>
  <c r="U82" i="8"/>
  <c r="U302" i="8"/>
  <c r="U414" i="8" s="1"/>
  <c r="U67" i="8"/>
  <c r="AI382" i="8"/>
  <c r="AJ382" i="8" s="1"/>
  <c r="Q432" i="8"/>
  <c r="Q187" i="8"/>
  <c r="Q82" i="8"/>
  <c r="Q444" i="8"/>
  <c r="Q67" i="8"/>
  <c r="Q302" i="8"/>
  <c r="Q414" i="8" s="1"/>
  <c r="C93" i="6" s="1"/>
  <c r="S70" i="8"/>
  <c r="S85" i="8"/>
  <c r="S430" i="8"/>
  <c r="S435" i="8"/>
  <c r="S72" i="8"/>
  <c r="S87" i="8"/>
  <c r="S437" i="8"/>
  <c r="S63" i="8"/>
  <c r="S448" i="8"/>
  <c r="S446" i="8"/>
  <c r="AC62" i="2"/>
  <c r="AC61" i="2"/>
  <c r="S51" i="8"/>
  <c r="M67" i="8" l="1"/>
  <c r="M444" i="8"/>
  <c r="M82" i="8"/>
  <c r="M432" i="8"/>
  <c r="M187" i="8"/>
  <c r="M302" i="8"/>
  <c r="M414" i="8" s="1"/>
  <c r="K387" i="8"/>
  <c r="AI387" i="8" s="1"/>
  <c r="AJ387" i="8" s="1"/>
  <c r="O432" i="8"/>
  <c r="O444" i="8"/>
  <c r="O82" i="8"/>
  <c r="O187" i="8"/>
  <c r="O302" i="8"/>
  <c r="O414" i="8" s="1"/>
  <c r="O67" i="8"/>
  <c r="N25" i="16"/>
  <c r="K385" i="8"/>
  <c r="C95" i="6"/>
  <c r="C94" i="6"/>
  <c r="Z51" i="1"/>
  <c r="K383" i="8"/>
  <c r="Z69" i="1"/>
  <c r="X76" i="1"/>
  <c r="K174" i="8" l="1"/>
  <c r="K178" i="8"/>
  <c r="AI178" i="8" s="1"/>
  <c r="K177" i="8"/>
  <c r="AI177" i="8" s="1"/>
  <c r="K176" i="8"/>
  <c r="AI176" i="8" s="1"/>
  <c r="K180" i="8"/>
  <c r="AI180" i="8" s="1"/>
  <c r="K175" i="8"/>
  <c r="AI175" i="8" s="1"/>
  <c r="K179" i="8"/>
  <c r="AI179" i="8" s="1"/>
  <c r="K294" i="8"/>
  <c r="AI294" i="8" s="1"/>
  <c r="K293" i="8"/>
  <c r="AI293" i="8" s="1"/>
  <c r="K292" i="8"/>
  <c r="AI292" i="8" s="1"/>
  <c r="K291" i="8"/>
  <c r="AI291" i="8" s="1"/>
  <c r="K290" i="8"/>
  <c r="AI290" i="8" s="1"/>
  <c r="K289" i="8"/>
  <c r="AI289" i="8" s="1"/>
  <c r="K288" i="8"/>
  <c r="AI288" i="8" s="1"/>
  <c r="K287" i="8"/>
  <c r="K426" i="8"/>
  <c r="K427" i="8"/>
  <c r="AI427" i="8" s="1"/>
  <c r="K188" i="8"/>
  <c r="AI188" i="8" s="1"/>
  <c r="K47" i="8"/>
  <c r="K300" i="8"/>
  <c r="AI300" i="8" s="1"/>
  <c r="K55" i="8"/>
  <c r="AI55" i="8" s="1"/>
  <c r="K54" i="8"/>
  <c r="K428" i="8"/>
  <c r="AI428" i="8" s="1"/>
  <c r="AI383" i="8"/>
  <c r="AJ383" i="8" s="1"/>
  <c r="K49" i="8"/>
  <c r="AI49" i="8" s="1"/>
  <c r="K303" i="8"/>
  <c r="C91" i="6"/>
  <c r="K444" i="8"/>
  <c r="AI444" i="8" s="1"/>
  <c r="K302" i="8"/>
  <c r="K432" i="8"/>
  <c r="AI432" i="8" s="1"/>
  <c r="K187" i="8"/>
  <c r="AI187" i="8" s="1"/>
  <c r="K82" i="8"/>
  <c r="K67" i="8"/>
  <c r="AI67" i="8" s="1"/>
  <c r="AI385" i="8"/>
  <c r="AJ385" i="8" s="1"/>
  <c r="K384" i="8"/>
  <c r="Z76" i="1"/>
  <c r="C92" i="6"/>
  <c r="AI426" i="8" l="1"/>
  <c r="K181" i="8"/>
  <c r="AI181" i="8" s="1"/>
  <c r="AI174" i="8"/>
  <c r="AI287" i="8"/>
  <c r="K295" i="8"/>
  <c r="AI295" i="8" s="1"/>
  <c r="K85" i="8"/>
  <c r="AI85" i="8" s="1"/>
  <c r="K430" i="8"/>
  <c r="AI430" i="8" s="1"/>
  <c r="AI384" i="8"/>
  <c r="AJ384" i="8" s="1"/>
  <c r="K72" i="8"/>
  <c r="AI72" i="8" s="1"/>
  <c r="K87" i="8"/>
  <c r="AI87" i="8" s="1"/>
  <c r="K446" i="8"/>
  <c r="AI446" i="8" s="1"/>
  <c r="K70" i="8"/>
  <c r="AI70" i="8" s="1"/>
  <c r="K448" i="8"/>
  <c r="AI448" i="8" s="1"/>
  <c r="K63" i="8"/>
  <c r="K435" i="8"/>
  <c r="AI435" i="8" s="1"/>
  <c r="K437" i="8"/>
  <c r="AI437" i="8" s="1"/>
  <c r="AI82" i="8"/>
  <c r="K412" i="8"/>
  <c r="AI303" i="8"/>
  <c r="K51" i="8"/>
  <c r="AI51" i="8" s="1"/>
  <c r="AI47" i="8"/>
  <c r="K414" i="8"/>
  <c r="AI302" i="8"/>
  <c r="K57" i="8"/>
  <c r="AI57" i="8" s="1"/>
  <c r="AI54" i="8"/>
  <c r="K386" i="8" l="1"/>
  <c r="AI386" i="8" s="1"/>
  <c r="AJ386" i="8" s="1"/>
  <c r="C71" i="6"/>
  <c r="C78" i="6" s="1"/>
  <c r="AI412" i="8"/>
  <c r="K413" i="8" s="1"/>
  <c r="C90" i="6"/>
  <c r="C97" i="6" s="1"/>
  <c r="AI414" i="8"/>
  <c r="K415" i="8" s="1"/>
  <c r="AI63" i="8"/>
  <c r="K299" i="8" l="1"/>
  <c r="K185" i="8"/>
  <c r="K305" i="8"/>
  <c r="K190" i="8"/>
  <c r="K301" i="8"/>
  <c r="E90" i="6"/>
  <c r="K306" i="8"/>
  <c r="K443" i="8"/>
  <c r="K81" i="8"/>
  <c r="K191" i="8"/>
  <c r="K186" i="8"/>
  <c r="K307" i="8"/>
  <c r="K298" i="8"/>
  <c r="M413" i="8"/>
  <c r="Q413" i="8"/>
  <c r="U413" i="8"/>
  <c r="O413" i="8"/>
  <c r="S413" i="8"/>
  <c r="Q415" i="8"/>
  <c r="S415" i="8"/>
  <c r="U415" i="8"/>
  <c r="O415" i="8"/>
  <c r="M415" i="8"/>
  <c r="U299" i="8" l="1"/>
  <c r="U185" i="8"/>
  <c r="S299" i="8"/>
  <c r="S185" i="8"/>
  <c r="Q299" i="8"/>
  <c r="Q185" i="8"/>
  <c r="M299" i="8"/>
  <c r="M185" i="8"/>
  <c r="O299" i="8"/>
  <c r="O185" i="8"/>
  <c r="U190" i="8"/>
  <c r="U81" i="8"/>
  <c r="U186" i="8"/>
  <c r="E95" i="6"/>
  <c r="U301" i="8"/>
  <c r="U307" i="8"/>
  <c r="U191" i="8"/>
  <c r="U443" i="8"/>
  <c r="U306" i="8"/>
  <c r="U298" i="8"/>
  <c r="U305" i="8"/>
  <c r="O68" i="8"/>
  <c r="O398" i="8" s="1"/>
  <c r="O433" i="8"/>
  <c r="E73" i="6"/>
  <c r="O445" i="8"/>
  <c r="O83" i="8"/>
  <c r="E71" i="6"/>
  <c r="K433" i="8"/>
  <c r="K83" i="8"/>
  <c r="K400" i="8" s="1"/>
  <c r="AI413" i="8"/>
  <c r="AJ413" i="8" s="1"/>
  <c r="K445" i="8"/>
  <c r="K68" i="8"/>
  <c r="S190" i="8"/>
  <c r="S186" i="8"/>
  <c r="S298" i="8"/>
  <c r="S307" i="8"/>
  <c r="S305" i="8"/>
  <c r="E94" i="6"/>
  <c r="S301" i="8"/>
  <c r="S191" i="8"/>
  <c r="S443" i="8"/>
  <c r="S81" i="8"/>
  <c r="S306" i="8"/>
  <c r="U445" i="8"/>
  <c r="U68" i="8"/>
  <c r="U398" i="8" s="1"/>
  <c r="U83" i="8"/>
  <c r="E76" i="6"/>
  <c r="U433" i="8"/>
  <c r="M306" i="8"/>
  <c r="M186" i="8"/>
  <c r="M190" i="8"/>
  <c r="M298" i="8"/>
  <c r="M81" i="8"/>
  <c r="M307" i="8"/>
  <c r="M305" i="8"/>
  <c r="M191" i="8"/>
  <c r="M443" i="8"/>
  <c r="E91" i="6"/>
  <c r="M301" i="8"/>
  <c r="Q301" i="8"/>
  <c r="Q81" i="8"/>
  <c r="Q305" i="8"/>
  <c r="Q306" i="8"/>
  <c r="Q190" i="8"/>
  <c r="E93" i="6"/>
  <c r="Q191" i="8"/>
  <c r="Q307" i="8"/>
  <c r="Q186" i="8"/>
  <c r="Q443" i="8"/>
  <c r="Q298" i="8"/>
  <c r="Q68" i="8"/>
  <c r="Q398" i="8" s="1"/>
  <c r="Q83" i="8"/>
  <c r="E74" i="6"/>
  <c r="Q433" i="8"/>
  <c r="Q445" i="8"/>
  <c r="AI415" i="8"/>
  <c r="AJ415" i="8" s="1"/>
  <c r="E92" i="6"/>
  <c r="O301" i="8"/>
  <c r="O306" i="8"/>
  <c r="O307" i="8"/>
  <c r="O443" i="8"/>
  <c r="O81" i="8"/>
  <c r="O400" i="8" s="1"/>
  <c r="O186" i="8"/>
  <c r="O190" i="8"/>
  <c r="O298" i="8"/>
  <c r="O305" i="8"/>
  <c r="O191" i="8"/>
  <c r="S83" i="8"/>
  <c r="E75" i="6"/>
  <c r="S68" i="8"/>
  <c r="S398" i="8" s="1"/>
  <c r="S445" i="8"/>
  <c r="S433" i="8"/>
  <c r="M445" i="8"/>
  <c r="M433" i="8"/>
  <c r="M83" i="8"/>
  <c r="M68" i="8"/>
  <c r="M398" i="8" s="1"/>
  <c r="E72" i="6"/>
  <c r="AI299" i="8" l="1"/>
  <c r="AI186" i="8"/>
  <c r="AI185" i="8"/>
  <c r="Q400" i="8"/>
  <c r="C41" i="5" s="1"/>
  <c r="M400" i="8"/>
  <c r="C39" i="5" s="1"/>
  <c r="U400" i="8"/>
  <c r="C43" i="5" s="1"/>
  <c r="S400" i="8"/>
  <c r="C42" i="5" s="1"/>
  <c r="E97" i="6"/>
  <c r="AI191" i="8"/>
  <c r="AI306" i="8"/>
  <c r="AI305" i="8"/>
  <c r="AI190" i="8"/>
  <c r="AI443" i="8"/>
  <c r="AI81" i="8"/>
  <c r="AI301" i="8"/>
  <c r="AI307" i="8"/>
  <c r="C18" i="5"/>
  <c r="AI445" i="8"/>
  <c r="E78" i="6"/>
  <c r="C40" i="5"/>
  <c r="C16" i="5"/>
  <c r="C17" i="5"/>
  <c r="C15" i="5"/>
  <c r="C19" i="5"/>
  <c r="AI83" i="8"/>
  <c r="AI68" i="8"/>
  <c r="K398" i="8"/>
  <c r="AI433" i="8"/>
  <c r="AI298" i="8"/>
  <c r="C14" i="5" l="1"/>
  <c r="C38" i="5"/>
  <c r="R118" i="2" l="1"/>
  <c r="R123" i="2"/>
  <c r="R121" i="2"/>
  <c r="R120" i="2" l="1"/>
  <c r="T120" i="2" s="1"/>
  <c r="R119" i="2"/>
  <c r="T119" i="2" s="1"/>
  <c r="E124" i="2" l="1"/>
  <c r="E81" i="2"/>
  <c r="I120" i="2" l="1"/>
  <c r="AA391" i="8" s="1"/>
  <c r="AA88" i="8" s="1"/>
  <c r="K25" i="7" s="1"/>
  <c r="I118" i="2"/>
  <c r="I123" i="2"/>
  <c r="AG391" i="8" s="1"/>
  <c r="AG308" i="8" s="1"/>
  <c r="I121" i="2"/>
  <c r="AC391" i="8" s="1"/>
  <c r="AC69" i="8" s="1"/>
  <c r="I122" i="2"/>
  <c r="AE391" i="8" s="1"/>
  <c r="AE88" i="8" s="1"/>
  <c r="AA449" i="8"/>
  <c r="W391" i="8"/>
  <c r="I119" i="2"/>
  <c r="Y391" i="8" s="1"/>
  <c r="Y254" i="8" s="1"/>
  <c r="AG192" i="8"/>
  <c r="AC308" i="8" l="1"/>
  <c r="AA434" i="8"/>
  <c r="AA254" i="8"/>
  <c r="AA308" i="8"/>
  <c r="K60" i="7" s="1"/>
  <c r="AA69" i="8"/>
  <c r="K20" i="7" s="1"/>
  <c r="AA192" i="8"/>
  <c r="K47" i="7" s="1"/>
  <c r="AG88" i="8"/>
  <c r="Q25" i="7" s="1"/>
  <c r="AG254" i="8"/>
  <c r="AG449" i="8"/>
  <c r="AG69" i="8"/>
  <c r="Q20" i="7" s="1"/>
  <c r="AG434" i="8"/>
  <c r="AC192" i="8"/>
  <c r="M47" i="7" s="1"/>
  <c r="AC449" i="8"/>
  <c r="AC254" i="8"/>
  <c r="AC88" i="8"/>
  <c r="M25" i="7" s="1"/>
  <c r="AC434" i="8"/>
  <c r="AE69" i="8"/>
  <c r="O20" i="7" s="1"/>
  <c r="AE449" i="8"/>
  <c r="I124" i="2"/>
  <c r="AE254" i="8"/>
  <c r="AE434" i="8"/>
  <c r="Y88" i="8"/>
  <c r="I25" i="7" s="1"/>
  <c r="Y69" i="8"/>
  <c r="I20" i="7" s="1"/>
  <c r="AE308" i="8"/>
  <c r="O60" i="7" s="1"/>
  <c r="AE192" i="8"/>
  <c r="O47" i="7" s="1"/>
  <c r="Y449" i="8"/>
  <c r="Y308" i="8"/>
  <c r="I60" i="7" s="1"/>
  <c r="Y434" i="8"/>
  <c r="Y192" i="8"/>
  <c r="I47" i="7" s="1"/>
  <c r="W434" i="8"/>
  <c r="W449" i="8"/>
  <c r="AI391" i="8"/>
  <c r="AJ391" i="8" s="1"/>
  <c r="W254" i="8"/>
  <c r="W69" i="8"/>
  <c r="W308" i="8"/>
  <c r="W192" i="8"/>
  <c r="W88" i="8"/>
  <c r="Q60" i="7"/>
  <c r="O25" i="7"/>
  <c r="M20" i="7"/>
  <c r="M60" i="7"/>
  <c r="Q47" i="7"/>
  <c r="AI434" i="8" l="1"/>
  <c r="AI254" i="8"/>
  <c r="AI449" i="8"/>
  <c r="AI88" i="8"/>
  <c r="G25" i="7"/>
  <c r="E25" i="7" s="1"/>
  <c r="G60" i="7"/>
  <c r="AI308" i="8"/>
  <c r="G47" i="7"/>
  <c r="AI192" i="8"/>
  <c r="G20" i="7"/>
  <c r="AI69" i="8"/>
  <c r="E20" i="7" l="1"/>
  <c r="E47" i="7"/>
  <c r="E60" i="7"/>
  <c r="P62" i="2" l="1"/>
  <c r="R62" i="2" s="1"/>
  <c r="G81" i="2" s="1"/>
  <c r="G83" i="2" l="1"/>
  <c r="I80" i="2" s="1"/>
  <c r="P66" i="2"/>
  <c r="R66" i="2" s="1"/>
  <c r="P64" i="2" l="1"/>
  <c r="R64" i="2" s="1"/>
  <c r="I81" i="2"/>
  <c r="Y389" i="8" s="1"/>
  <c r="W389" i="8"/>
  <c r="P63" i="2"/>
  <c r="R63" i="2" s="1"/>
  <c r="E68" i="2"/>
  <c r="I61" i="2" s="1"/>
  <c r="I63" i="2" l="1"/>
  <c r="AA388" i="8" s="1"/>
  <c r="I64" i="2"/>
  <c r="AC388" i="8" s="1"/>
  <c r="I83" i="2"/>
  <c r="AI389" i="8"/>
  <c r="AJ389" i="8" s="1"/>
  <c r="W195" i="8"/>
  <c r="W312" i="8"/>
  <c r="W196" i="8"/>
  <c r="W311" i="8"/>
  <c r="Y195" i="8"/>
  <c r="I50" i="7" s="1"/>
  <c r="Y312" i="8"/>
  <c r="I64" i="7" s="1"/>
  <c r="Y311" i="8"/>
  <c r="I63" i="7" s="1"/>
  <c r="Y196" i="8"/>
  <c r="I51" i="7" s="1"/>
  <c r="I65" i="2"/>
  <c r="AE388" i="8" s="1"/>
  <c r="I62" i="2"/>
  <c r="Y388" i="8" s="1"/>
  <c r="I66" i="2"/>
  <c r="AG388" i="8" s="1"/>
  <c r="AG197" i="8" l="1"/>
  <c r="Q52" i="7" s="1"/>
  <c r="AG313" i="8"/>
  <c r="Q65" i="7" s="1"/>
  <c r="Y197" i="8"/>
  <c r="I52" i="7" s="1"/>
  <c r="Y313" i="8"/>
  <c r="I65" i="7" s="1"/>
  <c r="AE197" i="8"/>
  <c r="O52" i="7" s="1"/>
  <c r="AE313" i="8"/>
  <c r="O65" i="7" s="1"/>
  <c r="AC314" i="8"/>
  <c r="AC313" i="8"/>
  <c r="M65" i="7" s="1"/>
  <c r="AC197" i="8"/>
  <c r="M52" i="7" s="1"/>
  <c r="AA197" i="8"/>
  <c r="K52" i="7" s="1"/>
  <c r="AA313" i="8"/>
  <c r="K65" i="7" s="1"/>
  <c r="AC309" i="8"/>
  <c r="M61" i="7" s="1"/>
  <c r="AA310" i="8"/>
  <c r="K62" i="7" s="1"/>
  <c r="AA73" i="8"/>
  <c r="K22" i="7" s="1"/>
  <c r="AA439" i="8"/>
  <c r="AC310" i="8"/>
  <c r="M62" i="7" s="1"/>
  <c r="AC438" i="8"/>
  <c r="AC450" i="8"/>
  <c r="AC198" i="8"/>
  <c r="AA314" i="8"/>
  <c r="AA309" i="8"/>
  <c r="K61" i="7" s="1"/>
  <c r="AC89" i="8"/>
  <c r="AC400" i="8" s="1"/>
  <c r="AC439" i="8"/>
  <c r="AA89" i="8"/>
  <c r="AA400" i="8" s="1"/>
  <c r="AA450" i="8"/>
  <c r="AC74" i="8"/>
  <c r="M23" i="7" s="1"/>
  <c r="AC73" i="8"/>
  <c r="M22" i="7" s="1"/>
  <c r="AC193" i="8"/>
  <c r="M48" i="7" s="1"/>
  <c r="AA198" i="8"/>
  <c r="AA194" i="8"/>
  <c r="K49" i="7" s="1"/>
  <c r="AA438" i="8"/>
  <c r="AC194" i="8"/>
  <c r="M49" i="7" s="1"/>
  <c r="AA193" i="8"/>
  <c r="K48" i="7" s="1"/>
  <c r="AA74" i="8"/>
  <c r="K23" i="7" s="1"/>
  <c r="G63" i="7"/>
  <c r="E63" i="7" s="1"/>
  <c r="AI311" i="8"/>
  <c r="Y194" i="8"/>
  <c r="I49" i="7" s="1"/>
  <c r="Y439" i="8"/>
  <c r="Y198" i="8"/>
  <c r="Y438" i="8"/>
  <c r="Y89" i="8"/>
  <c r="Y400" i="8" s="1"/>
  <c r="Y309" i="8"/>
  <c r="Y73" i="8"/>
  <c r="Y310" i="8"/>
  <c r="I62" i="7" s="1"/>
  <c r="Y193" i="8"/>
  <c r="I48" i="7" s="1"/>
  <c r="Y74" i="8"/>
  <c r="I23" i="7" s="1"/>
  <c r="Y314" i="8"/>
  <c r="Y450" i="8"/>
  <c r="G51" i="7"/>
  <c r="E51" i="7" s="1"/>
  <c r="AI196" i="8"/>
  <c r="AE310" i="8"/>
  <c r="O62" i="7" s="1"/>
  <c r="AE309" i="8"/>
  <c r="AE193" i="8"/>
  <c r="AE450" i="8"/>
  <c r="AE314" i="8"/>
  <c r="AE438" i="8"/>
  <c r="AE89" i="8"/>
  <c r="AE400" i="8" s="1"/>
  <c r="AE194" i="8"/>
  <c r="O49" i="7" s="1"/>
  <c r="AE73" i="8"/>
  <c r="AE439" i="8"/>
  <c r="AE74" i="8"/>
  <c r="O23" i="7" s="1"/>
  <c r="AE198" i="8"/>
  <c r="AI312" i="8"/>
  <c r="G64" i="7"/>
  <c r="E64" i="7" s="1"/>
  <c r="AG450" i="8"/>
  <c r="AG309" i="8"/>
  <c r="AG198" i="8"/>
  <c r="AG314" i="8"/>
  <c r="AG310" i="8"/>
  <c r="Q62" i="7" s="1"/>
  <c r="AG74" i="8"/>
  <c r="Q23" i="7" s="1"/>
  <c r="AG438" i="8"/>
  <c r="AG73" i="8"/>
  <c r="AG439" i="8"/>
  <c r="AG194" i="8"/>
  <c r="Q49" i="7" s="1"/>
  <c r="AG193" i="8"/>
  <c r="AG89" i="8"/>
  <c r="AG400" i="8" s="1"/>
  <c r="W388" i="8"/>
  <c r="I68" i="2"/>
  <c r="AI195" i="8"/>
  <c r="G50" i="7"/>
  <c r="E50" i="7" s="1"/>
  <c r="W313" i="8" l="1"/>
  <c r="W197" i="8"/>
  <c r="AC398" i="8"/>
  <c r="C24" i="5" s="1"/>
  <c r="AA398" i="8"/>
  <c r="C23" i="5" s="1"/>
  <c r="M26" i="7"/>
  <c r="K26" i="7"/>
  <c r="Q48" i="7"/>
  <c r="C47" i="5"/>
  <c r="C48" i="5"/>
  <c r="I22" i="7"/>
  <c r="Y398" i="8"/>
  <c r="W194" i="8"/>
  <c r="AI388" i="8"/>
  <c r="AJ388" i="8" s="1"/>
  <c r="W193" i="8"/>
  <c r="W73" i="8"/>
  <c r="W74" i="8"/>
  <c r="W438" i="8"/>
  <c r="AI438" i="8" s="1"/>
  <c r="W309" i="8"/>
  <c r="W310" i="8"/>
  <c r="W89" i="8"/>
  <c r="W400" i="8" s="1"/>
  <c r="W439" i="8"/>
  <c r="AI439" i="8" s="1"/>
  <c r="W198" i="8"/>
  <c r="AI198" i="8" s="1"/>
  <c r="W314" i="8"/>
  <c r="AI314" i="8" s="1"/>
  <c r="W450" i="8"/>
  <c r="AI450" i="8" s="1"/>
  <c r="O22" i="7"/>
  <c r="AE398" i="8"/>
  <c r="I61" i="7"/>
  <c r="Q26" i="7"/>
  <c r="Q22" i="7"/>
  <c r="AG398" i="8"/>
  <c r="O48" i="7"/>
  <c r="I26" i="7"/>
  <c r="Q61" i="7"/>
  <c r="O26" i="7"/>
  <c r="O61" i="7"/>
  <c r="G52" i="7" l="1"/>
  <c r="E52" i="7" s="1"/>
  <c r="AI197" i="8"/>
  <c r="G65" i="7"/>
  <c r="E65" i="7" s="1"/>
  <c r="AI313" i="8"/>
  <c r="C25" i="5"/>
  <c r="G26" i="7"/>
  <c r="E26" i="7" s="1"/>
  <c r="AI89" i="8"/>
  <c r="G23" i="7"/>
  <c r="E23" i="7" s="1"/>
  <c r="AI74" i="8"/>
  <c r="C49" i="5"/>
  <c r="C46" i="5"/>
  <c r="C50" i="5"/>
  <c r="AI310" i="8"/>
  <c r="G62" i="7"/>
  <c r="E62" i="7" s="1"/>
  <c r="C26" i="5"/>
  <c r="AI309" i="8"/>
  <c r="G61" i="7"/>
  <c r="G22" i="7"/>
  <c r="AI73" i="8"/>
  <c r="W398" i="8"/>
  <c r="G49" i="7"/>
  <c r="E49" i="7" s="1"/>
  <c r="AI194" i="8"/>
  <c r="AI193" i="8"/>
  <c r="G48" i="7"/>
  <c r="C22" i="5"/>
  <c r="C45" i="5" l="1"/>
  <c r="C51" i="5" s="1"/>
  <c r="AI400" i="8"/>
  <c r="W401" i="8" s="1"/>
  <c r="E22" i="7"/>
  <c r="E48" i="7"/>
  <c r="C21" i="5"/>
  <c r="C27" i="5" s="1"/>
  <c r="AI398" i="8"/>
  <c r="W399" i="8" s="1"/>
  <c r="E61" i="7"/>
  <c r="K401" i="8" l="1"/>
  <c r="O399" i="8"/>
  <c r="U399" i="8"/>
  <c r="M399" i="8"/>
  <c r="S399" i="8"/>
  <c r="K399" i="8"/>
  <c r="Q399" i="8"/>
  <c r="AA399" i="8"/>
  <c r="AC399" i="8"/>
  <c r="AE399" i="8"/>
  <c r="AG399" i="8"/>
  <c r="Y399" i="8"/>
  <c r="Q401" i="8"/>
  <c r="U401" i="8"/>
  <c r="M401" i="8"/>
  <c r="O401" i="8"/>
  <c r="S401" i="8"/>
  <c r="AC401" i="8"/>
  <c r="AA401" i="8"/>
  <c r="AE401" i="8"/>
  <c r="AG401" i="8"/>
  <c r="Y401" i="8"/>
  <c r="K90" i="8" l="1"/>
  <c r="K80" i="8"/>
  <c r="K442" i="8"/>
  <c r="AI401" i="8"/>
  <c r="AJ401" i="8" s="1"/>
  <c r="K451" i="8"/>
  <c r="E38" i="5"/>
  <c r="K91" i="8"/>
  <c r="K452" i="8"/>
  <c r="AG451" i="8"/>
  <c r="E50" i="5"/>
  <c r="AG80" i="8"/>
  <c r="AG91" i="8"/>
  <c r="AG442" i="8"/>
  <c r="AG452" i="8"/>
  <c r="AG90" i="8"/>
  <c r="S452" i="8"/>
  <c r="S80" i="8"/>
  <c r="S442" i="8"/>
  <c r="S91" i="8"/>
  <c r="S451" i="8"/>
  <c r="E42" i="5"/>
  <c r="S90" i="8"/>
  <c r="U452" i="8"/>
  <c r="U442" i="8"/>
  <c r="U80" i="8"/>
  <c r="U90" i="8"/>
  <c r="E43" i="5"/>
  <c r="U91" i="8"/>
  <c r="U451" i="8"/>
  <c r="AG75" i="8"/>
  <c r="E26" i="5"/>
  <c r="AG200" i="8"/>
  <c r="AG315" i="8"/>
  <c r="AG316" i="8"/>
  <c r="AG441" i="8"/>
  <c r="AG62" i="8"/>
  <c r="AG199" i="8"/>
  <c r="AG76" i="8"/>
  <c r="AG429" i="8"/>
  <c r="AG440" i="8"/>
  <c r="Q62" i="8"/>
  <c r="Q316" i="8"/>
  <c r="Q440" i="8"/>
  <c r="Q200" i="8"/>
  <c r="Q315" i="8"/>
  <c r="Q199" i="8"/>
  <c r="Q441" i="8"/>
  <c r="Q75" i="8"/>
  <c r="Q429" i="8"/>
  <c r="E17" i="5"/>
  <c r="Q76" i="8"/>
  <c r="U316" i="8"/>
  <c r="U76" i="8"/>
  <c r="U200" i="8"/>
  <c r="U199" i="8"/>
  <c r="U440" i="8"/>
  <c r="U441" i="8"/>
  <c r="U62" i="8"/>
  <c r="U315" i="8"/>
  <c r="E19" i="5"/>
  <c r="U75" i="8"/>
  <c r="U429" i="8"/>
  <c r="AE80" i="8"/>
  <c r="AE91" i="8"/>
  <c r="AE451" i="8"/>
  <c r="E49" i="5"/>
  <c r="AE90" i="8"/>
  <c r="AE442" i="8"/>
  <c r="AE452" i="8"/>
  <c r="O442" i="8"/>
  <c r="O452" i="8"/>
  <c r="E40" i="5"/>
  <c r="O451" i="8"/>
  <c r="O91" i="8"/>
  <c r="O80" i="8"/>
  <c r="O90" i="8"/>
  <c r="Q90" i="8"/>
  <c r="Q80" i="8"/>
  <c r="Q442" i="8"/>
  <c r="Q452" i="8"/>
  <c r="Q451" i="8"/>
  <c r="E41" i="5"/>
  <c r="Q91" i="8"/>
  <c r="AE199" i="8"/>
  <c r="AE429" i="8"/>
  <c r="AE441" i="8"/>
  <c r="AE315" i="8"/>
  <c r="AE200" i="8"/>
  <c r="E25" i="5"/>
  <c r="AE62" i="8"/>
  <c r="AE75" i="8"/>
  <c r="AE440" i="8"/>
  <c r="AE76" i="8"/>
  <c r="AE316" i="8"/>
  <c r="K316" i="8"/>
  <c r="K76" i="8"/>
  <c r="K75" i="8"/>
  <c r="E14" i="5"/>
  <c r="AI399" i="8"/>
  <c r="AJ399" i="8" s="1"/>
  <c r="K440" i="8"/>
  <c r="K315" i="8"/>
  <c r="K199" i="8"/>
  <c r="K200" i="8"/>
  <c r="K429" i="8"/>
  <c r="K441" i="8"/>
  <c r="K62" i="8"/>
  <c r="O62" i="8"/>
  <c r="O316" i="8"/>
  <c r="E16" i="5"/>
  <c r="O441" i="8"/>
  <c r="O429" i="8"/>
  <c r="O75" i="8"/>
  <c r="O199" i="8"/>
  <c r="O440" i="8"/>
  <c r="O315" i="8"/>
  <c r="O76" i="8"/>
  <c r="O200" i="8"/>
  <c r="AA442" i="8"/>
  <c r="AA451" i="8"/>
  <c r="AA452" i="8"/>
  <c r="AA80" i="8"/>
  <c r="AA90" i="8"/>
  <c r="E47" i="5"/>
  <c r="AA91" i="8"/>
  <c r="W442" i="8"/>
  <c r="W451" i="8"/>
  <c r="W90" i="8"/>
  <c r="W452" i="8"/>
  <c r="W91" i="8"/>
  <c r="E45" i="5"/>
  <c r="W80" i="8"/>
  <c r="AC315" i="8"/>
  <c r="AC200" i="8"/>
  <c r="AC316" i="8"/>
  <c r="AC62" i="8"/>
  <c r="AC75" i="8"/>
  <c r="AC441" i="8"/>
  <c r="AC429" i="8"/>
  <c r="AC440" i="8"/>
  <c r="AC199" i="8"/>
  <c r="E24" i="5"/>
  <c r="AC76" i="8"/>
  <c r="S76" i="8"/>
  <c r="S441" i="8"/>
  <c r="S440" i="8"/>
  <c r="S75" i="8"/>
  <c r="S315" i="8"/>
  <c r="E18" i="5"/>
  <c r="S200" i="8"/>
  <c r="S62" i="8"/>
  <c r="S316" i="8"/>
  <c r="S199" i="8"/>
  <c r="S429" i="8"/>
  <c r="W200" i="8"/>
  <c r="W199" i="8"/>
  <c r="E21" i="5"/>
  <c r="W315" i="8"/>
  <c r="W429" i="8"/>
  <c r="W62" i="8"/>
  <c r="W76" i="8"/>
  <c r="W316" i="8"/>
  <c r="W75" i="8"/>
  <c r="W441" i="8"/>
  <c r="W440" i="8"/>
  <c r="Y90" i="8"/>
  <c r="Y91" i="8"/>
  <c r="Y442" i="8"/>
  <c r="Y451" i="8"/>
  <c r="E46" i="5"/>
  <c r="Y80" i="8"/>
  <c r="Y452" i="8"/>
  <c r="AC80" i="8"/>
  <c r="AC442" i="8"/>
  <c r="AC90" i="8"/>
  <c r="AC91" i="8"/>
  <c r="E48" i="5"/>
  <c r="AC452" i="8"/>
  <c r="AC451" i="8"/>
  <c r="M80" i="8"/>
  <c r="M452" i="8"/>
  <c r="M451" i="8"/>
  <c r="E39" i="5"/>
  <c r="M442" i="8"/>
  <c r="M90" i="8"/>
  <c r="M91" i="8"/>
  <c r="Y316" i="8"/>
  <c r="Y440" i="8"/>
  <c r="Y429" i="8"/>
  <c r="Y200" i="8"/>
  <c r="Y75" i="8"/>
  <c r="E22" i="5"/>
  <c r="Y76" i="8"/>
  <c r="Y199" i="8"/>
  <c r="Y441" i="8"/>
  <c r="Y315" i="8"/>
  <c r="Y62" i="8"/>
  <c r="AA200" i="8"/>
  <c r="AA315" i="8"/>
  <c r="AA76" i="8"/>
  <c r="AA316" i="8"/>
  <c r="AA75" i="8"/>
  <c r="AA199" i="8"/>
  <c r="AA62" i="8"/>
  <c r="AA429" i="8"/>
  <c r="AA441" i="8"/>
  <c r="E23" i="5"/>
  <c r="AA440" i="8"/>
  <c r="M75" i="8"/>
  <c r="M441" i="8"/>
  <c r="M315" i="8"/>
  <c r="M62" i="8"/>
  <c r="E15" i="5"/>
  <c r="M76" i="8"/>
  <c r="M440" i="8"/>
  <c r="M200" i="8"/>
  <c r="M316" i="8"/>
  <c r="M429" i="8"/>
  <c r="M199" i="8"/>
  <c r="Y201" i="8" l="1"/>
  <c r="Y77" i="8"/>
  <c r="AC317" i="8"/>
  <c r="W201" i="8"/>
  <c r="AG77" i="8"/>
  <c r="Q317" i="8"/>
  <c r="Y317" i="8"/>
  <c r="AA77" i="8"/>
  <c r="W92" i="8"/>
  <c r="AE317" i="8"/>
  <c r="M92" i="8"/>
  <c r="W77" i="8"/>
  <c r="AC77" i="8"/>
  <c r="O317" i="8"/>
  <c r="O77" i="8"/>
  <c r="O92" i="8"/>
  <c r="U317" i="8"/>
  <c r="U201" i="8"/>
  <c r="M77" i="8"/>
  <c r="AA92" i="8"/>
  <c r="AG201" i="8"/>
  <c r="Q77" i="8"/>
  <c r="AG317" i="8"/>
  <c r="U92" i="8"/>
  <c r="S92" i="8"/>
  <c r="M317" i="8"/>
  <c r="AA317" i="8"/>
  <c r="AC92" i="8"/>
  <c r="S201" i="8"/>
  <c r="AC201" i="8"/>
  <c r="AI429" i="8"/>
  <c r="AI440" i="8"/>
  <c r="AI76" i="8"/>
  <c r="AE201" i="8"/>
  <c r="AI452" i="8"/>
  <c r="AI200" i="8"/>
  <c r="AI316" i="8"/>
  <c r="AE92" i="8"/>
  <c r="AG92" i="8"/>
  <c r="AI91" i="8"/>
  <c r="AI442" i="8"/>
  <c r="S317" i="8"/>
  <c r="M201" i="8"/>
  <c r="AA201" i="8"/>
  <c r="Y92" i="8"/>
  <c r="S77" i="8"/>
  <c r="K77" i="8"/>
  <c r="AI62" i="8"/>
  <c r="K201" i="8"/>
  <c r="AI199" i="8"/>
  <c r="E27" i="5"/>
  <c r="AE77" i="8"/>
  <c r="Q92" i="8"/>
  <c r="U77" i="8"/>
  <c r="Q201" i="8"/>
  <c r="E51" i="5"/>
  <c r="AI80" i="8"/>
  <c r="K92" i="8"/>
  <c r="W317" i="8"/>
  <c r="O201" i="8"/>
  <c r="AI441" i="8"/>
  <c r="K317" i="8"/>
  <c r="AI315" i="8"/>
  <c r="AI75" i="8"/>
  <c r="AI451" i="8"/>
  <c r="AI90" i="8"/>
  <c r="AA94" i="8" l="1"/>
  <c r="Y94" i="8"/>
  <c r="AG94" i="8"/>
  <c r="M94" i="8"/>
  <c r="M402" i="8" s="1"/>
  <c r="O94" i="8"/>
  <c r="U94" i="8"/>
  <c r="W94" i="8"/>
  <c r="S94" i="8"/>
  <c r="AC94" i="8"/>
  <c r="Q94" i="8"/>
  <c r="AI317" i="8"/>
  <c r="AI201" i="8"/>
  <c r="K94" i="8"/>
  <c r="AI92" i="8"/>
  <c r="AI77" i="8"/>
  <c r="AE94" i="8"/>
  <c r="Q402" i="8" l="1"/>
  <c r="C68" i="5" s="1"/>
  <c r="O402" i="8"/>
  <c r="C67" i="5" s="1"/>
  <c r="K402" i="8"/>
  <c r="AI94" i="8"/>
  <c r="C66" i="5"/>
  <c r="C65" i="5" l="1"/>
  <c r="G35" i="7"/>
  <c r="I35" i="7"/>
  <c r="K35" i="7"/>
  <c r="M35" i="7"/>
  <c r="O35" i="7"/>
  <c r="Q35" i="7"/>
  <c r="E35" i="7" l="1"/>
  <c r="U115" i="8" l="1"/>
  <c r="U402" i="8" s="1"/>
  <c r="I113" i="8"/>
  <c r="I115" i="8" s="1"/>
  <c r="I152" i="8" s="1"/>
  <c r="AI114" i="8" l="1"/>
  <c r="C70" i="5"/>
  <c r="B4" i="20"/>
  <c r="D4" i="20" s="1"/>
  <c r="B153" i="8"/>
  <c r="I244" i="8"/>
  <c r="S115" i="8"/>
  <c r="W113" i="8"/>
  <c r="AC113" i="8"/>
  <c r="AC115" i="8" s="1"/>
  <c r="Y113" i="8"/>
  <c r="Y115" i="8" s="1"/>
  <c r="AG113" i="8"/>
  <c r="AG115" i="8" s="1"/>
  <c r="AE113" i="8"/>
  <c r="AE115" i="8" s="1"/>
  <c r="AA113" i="8"/>
  <c r="AA115" i="8" s="1"/>
  <c r="AC402" i="8" l="1"/>
  <c r="AI113" i="8"/>
  <c r="W115" i="8"/>
  <c r="AI115" i="8"/>
  <c r="S402" i="8"/>
  <c r="AA402" i="8"/>
  <c r="B244" i="8"/>
  <c r="I251" i="8"/>
  <c r="I261" i="8" s="1"/>
  <c r="AG402" i="8"/>
  <c r="AE402" i="8"/>
  <c r="Y402" i="8"/>
  <c r="C77" i="5" l="1"/>
  <c r="W402" i="8"/>
  <c r="C75" i="5"/>
  <c r="C76" i="5"/>
  <c r="C69" i="5"/>
  <c r="C73" i="5"/>
  <c r="C74" i="5"/>
  <c r="C72" i="5" l="1"/>
  <c r="AI402" i="8"/>
  <c r="W403" i="8" s="1"/>
  <c r="C78" i="5"/>
  <c r="Q403" i="8" l="1"/>
  <c r="M403" i="8"/>
  <c r="O403" i="8"/>
  <c r="K403" i="8"/>
  <c r="U403" i="8"/>
  <c r="S403" i="8"/>
  <c r="Y403" i="8"/>
  <c r="AA403" i="8"/>
  <c r="AG403" i="8"/>
  <c r="AC403" i="8"/>
  <c r="AE403" i="8"/>
  <c r="U473" i="8" l="1"/>
  <c r="U142" i="8"/>
  <c r="U464" i="8"/>
  <c r="U206" i="8"/>
  <c r="U467" i="8"/>
  <c r="U347" i="8"/>
  <c r="U212" i="8"/>
  <c r="U209" i="8"/>
  <c r="U340" i="8"/>
  <c r="U366" i="8"/>
  <c r="U213" i="8"/>
  <c r="U208" i="8"/>
  <c r="U338" i="8"/>
  <c r="U345" i="8"/>
  <c r="U348" i="8" s="1"/>
  <c r="U323" i="8"/>
  <c r="U472" i="8"/>
  <c r="U133" i="8"/>
  <c r="U329" i="8"/>
  <c r="U469" i="8"/>
  <c r="U230" i="8"/>
  <c r="U218" i="8"/>
  <c r="U210" i="8"/>
  <c r="U134" i="8"/>
  <c r="U466" i="8"/>
  <c r="U470" i="8"/>
  <c r="U327" i="8"/>
  <c r="U229" i="8"/>
  <c r="U465" i="8"/>
  <c r="U324" i="8"/>
  <c r="U219" i="8"/>
  <c r="U131" i="8"/>
  <c r="U147" i="8"/>
  <c r="U322" i="8"/>
  <c r="U471" i="8"/>
  <c r="U207" i="8"/>
  <c r="U331" i="8"/>
  <c r="U341" i="8"/>
  <c r="U211" i="8"/>
  <c r="U328" i="8"/>
  <c r="U224" i="8"/>
  <c r="U226" i="8" s="1"/>
  <c r="U140" i="8"/>
  <c r="U339" i="8"/>
  <c r="E70" i="5"/>
  <c r="U326" i="8"/>
  <c r="U220" i="8"/>
  <c r="U468" i="8"/>
  <c r="U214" i="8"/>
  <c r="U330" i="8"/>
  <c r="U141" i="8"/>
  <c r="U463" i="8"/>
  <c r="U135" i="8"/>
  <c r="U325" i="8"/>
  <c r="U462" i="8"/>
  <c r="U205" i="8"/>
  <c r="U321" i="8"/>
  <c r="U130" i="8"/>
  <c r="U146" i="8"/>
  <c r="U364" i="8"/>
  <c r="U255" i="8"/>
  <c r="AE470" i="8"/>
  <c r="AE467" i="8"/>
  <c r="AE140" i="8"/>
  <c r="AE142" i="8"/>
  <c r="AE134" i="8"/>
  <c r="AE218" i="8"/>
  <c r="AE147" i="8"/>
  <c r="AE328" i="8"/>
  <c r="AE208" i="8"/>
  <c r="AE464" i="8"/>
  <c r="AE329" i="8"/>
  <c r="AE326" i="8"/>
  <c r="AE341" i="8"/>
  <c r="AE472" i="8"/>
  <c r="AE214" i="8"/>
  <c r="AE229" i="8"/>
  <c r="AE327" i="8"/>
  <c r="AE325" i="8"/>
  <c r="AE468" i="8"/>
  <c r="AE330" i="8"/>
  <c r="AE339" i="8"/>
  <c r="AE213" i="8"/>
  <c r="AE141" i="8"/>
  <c r="AE473" i="8"/>
  <c r="AE131" i="8"/>
  <c r="AE212" i="8"/>
  <c r="AE133" i="8"/>
  <c r="AE230" i="8"/>
  <c r="AE466" i="8"/>
  <c r="AE463" i="8"/>
  <c r="AE211" i="8"/>
  <c r="AE347" i="8"/>
  <c r="AE220" i="8"/>
  <c r="AE471" i="8"/>
  <c r="AE219" i="8"/>
  <c r="AE324" i="8"/>
  <c r="AE469" i="8"/>
  <c r="AE331" i="8"/>
  <c r="AE135" i="8"/>
  <c r="AE465" i="8"/>
  <c r="AE209" i="8"/>
  <c r="AE338" i="8"/>
  <c r="AE366" i="8"/>
  <c r="AE340" i="8"/>
  <c r="E76" i="5"/>
  <c r="AE210" i="8"/>
  <c r="AE207" i="8"/>
  <c r="AE224" i="8"/>
  <c r="AE226" i="8" s="1"/>
  <c r="AE206" i="8"/>
  <c r="AE205" i="8"/>
  <c r="AE345" i="8"/>
  <c r="AE323" i="8"/>
  <c r="AE130" i="8"/>
  <c r="AE462" i="8"/>
  <c r="AE146" i="8"/>
  <c r="AE148" i="8" s="1"/>
  <c r="AE255" i="8"/>
  <c r="AE322" i="8"/>
  <c r="O66" i="7" s="1"/>
  <c r="AE321" i="8"/>
  <c r="AE364" i="8"/>
  <c r="AA210" i="8"/>
  <c r="AA325" i="8"/>
  <c r="AA329" i="8"/>
  <c r="AA463" i="8"/>
  <c r="AA327" i="8"/>
  <c r="AA212" i="8"/>
  <c r="AA141" i="8"/>
  <c r="AA339" i="8"/>
  <c r="AA338" i="8"/>
  <c r="AA326" i="8"/>
  <c r="AA220" i="8"/>
  <c r="AA469" i="8"/>
  <c r="AA142" i="8"/>
  <c r="AA330" i="8"/>
  <c r="AA131" i="8"/>
  <c r="AA134" i="8"/>
  <c r="AA206" i="8"/>
  <c r="AA224" i="8"/>
  <c r="AA226" i="8" s="1"/>
  <c r="AA324" i="8"/>
  <c r="AA211" i="8"/>
  <c r="AA207" i="8"/>
  <c r="AA331" i="8"/>
  <c r="AA133" i="8"/>
  <c r="AA219" i="8"/>
  <c r="AA323" i="8"/>
  <c r="AA229" i="8"/>
  <c r="AA208" i="8"/>
  <c r="AA466" i="8"/>
  <c r="AA366" i="8"/>
  <c r="AA347" i="8"/>
  <c r="AA468" i="8"/>
  <c r="AA345" i="8"/>
  <c r="AA135" i="8"/>
  <c r="AA465" i="8"/>
  <c r="AA147" i="8"/>
  <c r="AA341" i="8"/>
  <c r="E74" i="5"/>
  <c r="AA464" i="8"/>
  <c r="AA209" i="8"/>
  <c r="AA340" i="8"/>
  <c r="AA328" i="8"/>
  <c r="AA470" i="8"/>
  <c r="AA230" i="8"/>
  <c r="AA140" i="8"/>
  <c r="AA214" i="8"/>
  <c r="AA472" i="8"/>
  <c r="AA467" i="8"/>
  <c r="AA471" i="8"/>
  <c r="AA213" i="8"/>
  <c r="AA473" i="8"/>
  <c r="AA218" i="8"/>
  <c r="AA255" i="8"/>
  <c r="AA205" i="8"/>
  <c r="AA322" i="8"/>
  <c r="K66" i="7" s="1"/>
  <c r="AA321" i="8"/>
  <c r="AA146" i="8"/>
  <c r="AA148" i="8" s="1"/>
  <c r="AA462" i="8"/>
  <c r="AA130" i="8"/>
  <c r="AA364" i="8"/>
  <c r="S140" i="8"/>
  <c r="S133" i="8"/>
  <c r="S471" i="8"/>
  <c r="S322" i="8"/>
  <c r="S464" i="8"/>
  <c r="S472" i="8"/>
  <c r="S224" i="8"/>
  <c r="S226" i="8" s="1"/>
  <c r="S467" i="8"/>
  <c r="S207" i="8"/>
  <c r="S141" i="8"/>
  <c r="S323" i="8"/>
  <c r="S339" i="8"/>
  <c r="S218" i="8"/>
  <c r="S147" i="8"/>
  <c r="S327" i="8"/>
  <c r="S131" i="8"/>
  <c r="E69" i="5"/>
  <c r="S325" i="8"/>
  <c r="S230" i="8"/>
  <c r="S142" i="8"/>
  <c r="S330" i="8"/>
  <c r="S341" i="8"/>
  <c r="S229" i="8"/>
  <c r="S468" i="8"/>
  <c r="S329" i="8"/>
  <c r="S331" i="8"/>
  <c r="S219" i="8"/>
  <c r="S211" i="8"/>
  <c r="S463" i="8"/>
  <c r="S220" i="8"/>
  <c r="S473" i="8"/>
  <c r="S340" i="8"/>
  <c r="S135" i="8"/>
  <c r="S345" i="8"/>
  <c r="S206" i="8"/>
  <c r="S324" i="8"/>
  <c r="S338" i="8"/>
  <c r="S210" i="8"/>
  <c r="S134" i="8"/>
  <c r="S212" i="8"/>
  <c r="S213" i="8"/>
  <c r="S469" i="8"/>
  <c r="S465" i="8"/>
  <c r="S208" i="8"/>
  <c r="S347" i="8"/>
  <c r="S466" i="8"/>
  <c r="S328" i="8"/>
  <c r="S214" i="8"/>
  <c r="S209" i="8"/>
  <c r="S366" i="8"/>
  <c r="S326" i="8"/>
  <c r="S470" i="8"/>
  <c r="S462" i="8"/>
  <c r="S130" i="8"/>
  <c r="S321" i="8"/>
  <c r="S255" i="8"/>
  <c r="S364" i="8"/>
  <c r="S146" i="8"/>
  <c r="S205" i="8"/>
  <c r="K469" i="8"/>
  <c r="K142" i="8"/>
  <c r="K147" i="8"/>
  <c r="K340" i="8"/>
  <c r="K347" i="8"/>
  <c r="K471" i="8"/>
  <c r="K206" i="8"/>
  <c r="K323" i="8"/>
  <c r="K212" i="8"/>
  <c r="AI403" i="8"/>
  <c r="AJ403" i="8" s="1"/>
  <c r="K467" i="8"/>
  <c r="K465" i="8"/>
  <c r="K331" i="8"/>
  <c r="K229" i="8"/>
  <c r="K466" i="8"/>
  <c r="K468" i="8"/>
  <c r="K470" i="8"/>
  <c r="K464" i="8"/>
  <c r="K472" i="8"/>
  <c r="K131" i="8"/>
  <c r="K224" i="8"/>
  <c r="K328" i="8"/>
  <c r="K207" i="8"/>
  <c r="K345" i="8"/>
  <c r="K133" i="8"/>
  <c r="K220" i="8"/>
  <c r="K341" i="8"/>
  <c r="K324" i="8"/>
  <c r="K208" i="8"/>
  <c r="K473" i="8"/>
  <c r="K338" i="8"/>
  <c r="K214" i="8"/>
  <c r="K463" i="8"/>
  <c r="K134" i="8"/>
  <c r="K322" i="8"/>
  <c r="K330" i="8"/>
  <c r="K141" i="8"/>
  <c r="K210" i="8"/>
  <c r="K339" i="8"/>
  <c r="K213" i="8"/>
  <c r="K140" i="8"/>
  <c r="K135" i="8"/>
  <c r="K205" i="8"/>
  <c r="K218" i="8"/>
  <c r="K325" i="8"/>
  <c r="K326" i="8"/>
  <c r="K219" i="8"/>
  <c r="K211" i="8"/>
  <c r="E65" i="5"/>
  <c r="K327" i="8"/>
  <c r="K329" i="8"/>
  <c r="K230" i="8"/>
  <c r="K209" i="8"/>
  <c r="K366" i="8"/>
  <c r="K130" i="8"/>
  <c r="K146" i="8"/>
  <c r="K321" i="8"/>
  <c r="K462" i="8"/>
  <c r="K364" i="8"/>
  <c r="K255" i="8"/>
  <c r="M206" i="8"/>
  <c r="M465" i="8"/>
  <c r="M131" i="8"/>
  <c r="M472" i="8"/>
  <c r="M473" i="8"/>
  <c r="M470" i="8"/>
  <c r="M207" i="8"/>
  <c r="M323" i="8"/>
  <c r="M324" i="8"/>
  <c r="M347" i="8"/>
  <c r="M468" i="8"/>
  <c r="M469" i="8"/>
  <c r="M331" i="8"/>
  <c r="M211" i="8"/>
  <c r="E66" i="5"/>
  <c r="M230" i="8"/>
  <c r="M464" i="8"/>
  <c r="M209" i="8"/>
  <c r="M224" i="8"/>
  <c r="M226" i="8" s="1"/>
  <c r="M214" i="8"/>
  <c r="M330" i="8"/>
  <c r="M133" i="8"/>
  <c r="M135" i="8"/>
  <c r="M467" i="8"/>
  <c r="M338" i="8"/>
  <c r="M213" i="8"/>
  <c r="M147" i="8"/>
  <c r="M329" i="8"/>
  <c r="M326" i="8"/>
  <c r="M322" i="8"/>
  <c r="M328" i="8"/>
  <c r="M340" i="8"/>
  <c r="M141" i="8"/>
  <c r="M339" i="8"/>
  <c r="M142" i="8"/>
  <c r="M208" i="8"/>
  <c r="M341" i="8"/>
  <c r="M229" i="8"/>
  <c r="M463" i="8"/>
  <c r="M325" i="8"/>
  <c r="M466" i="8"/>
  <c r="M220" i="8"/>
  <c r="M210" i="8"/>
  <c r="M140" i="8"/>
  <c r="M134" i="8"/>
  <c r="M327" i="8"/>
  <c r="M219" i="8"/>
  <c r="M212" i="8"/>
  <c r="M471" i="8"/>
  <c r="M366" i="8"/>
  <c r="M218" i="8"/>
  <c r="M345" i="8"/>
  <c r="M462" i="8"/>
  <c r="M205" i="8"/>
  <c r="M130" i="8"/>
  <c r="M321" i="8"/>
  <c r="M146" i="8"/>
  <c r="M364" i="8"/>
  <c r="M255" i="8"/>
  <c r="Y470" i="8"/>
  <c r="Y219" i="8"/>
  <c r="Y214" i="8"/>
  <c r="Y140" i="8"/>
  <c r="Y147" i="8"/>
  <c r="Y324" i="8"/>
  <c r="Y366" i="8"/>
  <c r="Y466" i="8"/>
  <c r="Y208" i="8"/>
  <c r="Y329" i="8"/>
  <c r="Y133" i="8"/>
  <c r="Y341" i="8"/>
  <c r="Y224" i="8"/>
  <c r="Y226" i="8" s="1"/>
  <c r="Y345" i="8"/>
  <c r="Y331" i="8"/>
  <c r="Y463" i="8"/>
  <c r="Y340" i="8"/>
  <c r="Y472" i="8"/>
  <c r="Y207" i="8"/>
  <c r="Y210" i="8"/>
  <c r="Y213" i="8"/>
  <c r="Y142" i="8"/>
  <c r="Y230" i="8"/>
  <c r="Y135" i="8"/>
  <c r="Y464" i="8"/>
  <c r="Y328" i="8"/>
  <c r="Y469" i="8"/>
  <c r="Y134" i="8"/>
  <c r="Y327" i="8"/>
  <c r="Y326" i="8"/>
  <c r="E73" i="5"/>
  <c r="Y473" i="8"/>
  <c r="Y209" i="8"/>
  <c r="Y338" i="8"/>
  <c r="Y339" i="8"/>
  <c r="Y330" i="8"/>
  <c r="Y467" i="8"/>
  <c r="Y471" i="8"/>
  <c r="Y347" i="8"/>
  <c r="Y220" i="8"/>
  <c r="Y229" i="8"/>
  <c r="Y212" i="8"/>
  <c r="Y325" i="8"/>
  <c r="Y211" i="8"/>
  <c r="Y465" i="8"/>
  <c r="Y141" i="8"/>
  <c r="Y468" i="8"/>
  <c r="Y131" i="8"/>
  <c r="Y146" i="8"/>
  <c r="Y218" i="8"/>
  <c r="Y462" i="8"/>
  <c r="Y206" i="8"/>
  <c r="Y255" i="8"/>
  <c r="Y205" i="8"/>
  <c r="Y323" i="8"/>
  <c r="Y322" i="8"/>
  <c r="I66" i="7" s="1"/>
  <c r="Y130" i="8"/>
  <c r="Y321" i="8"/>
  <c r="Y364" i="8"/>
  <c r="W472" i="8"/>
  <c r="W133" i="8"/>
  <c r="W326" i="8"/>
  <c r="W214" i="8"/>
  <c r="W468" i="8"/>
  <c r="W220" i="8"/>
  <c r="W229" i="8"/>
  <c r="W340" i="8"/>
  <c r="W339" i="8"/>
  <c r="W135" i="8"/>
  <c r="W347" i="8"/>
  <c r="W331" i="8"/>
  <c r="W341" i="8"/>
  <c r="W209" i="8"/>
  <c r="W230" i="8"/>
  <c r="W327" i="8"/>
  <c r="W470" i="8"/>
  <c r="E72" i="5"/>
  <c r="W325" i="8"/>
  <c r="W147" i="8"/>
  <c r="W467" i="8"/>
  <c r="W366" i="8"/>
  <c r="W131" i="8"/>
  <c r="W213" i="8"/>
  <c r="W218" i="8"/>
  <c r="W219" i="8"/>
  <c r="W338" i="8"/>
  <c r="W330" i="8"/>
  <c r="W324" i="8"/>
  <c r="W134" i="8"/>
  <c r="W224" i="8"/>
  <c r="W226" i="8" s="1"/>
  <c r="W208" i="8"/>
  <c r="W328" i="8"/>
  <c r="W463" i="8"/>
  <c r="W141" i="8"/>
  <c r="W140" i="8"/>
  <c r="W207" i="8"/>
  <c r="W211" i="8"/>
  <c r="W465" i="8"/>
  <c r="W210" i="8"/>
  <c r="W464" i="8"/>
  <c r="W329" i="8"/>
  <c r="W466" i="8"/>
  <c r="W471" i="8"/>
  <c r="W142" i="8"/>
  <c r="W473" i="8"/>
  <c r="W469" i="8"/>
  <c r="W212" i="8"/>
  <c r="W323" i="8"/>
  <c r="W205" i="8"/>
  <c r="W255" i="8"/>
  <c r="W345" i="8"/>
  <c r="W462" i="8"/>
  <c r="W146" i="8"/>
  <c r="W322" i="8"/>
  <c r="G66" i="7" s="1"/>
  <c r="W130" i="8"/>
  <c r="W321" i="8"/>
  <c r="W206" i="8"/>
  <c r="W364" i="8"/>
  <c r="O134" i="8"/>
  <c r="O147" i="8"/>
  <c r="O463" i="8"/>
  <c r="O366" i="8"/>
  <c r="O210" i="8"/>
  <c r="O466" i="8"/>
  <c r="O345" i="8"/>
  <c r="O142" i="8"/>
  <c r="O328" i="8"/>
  <c r="O135" i="8"/>
  <c r="O213" i="8"/>
  <c r="O322" i="8"/>
  <c r="O206" i="8"/>
  <c r="O338" i="8"/>
  <c r="O471" i="8"/>
  <c r="O140" i="8"/>
  <c r="O211" i="8"/>
  <c r="O467" i="8"/>
  <c r="O230" i="8"/>
  <c r="O141" i="8"/>
  <c r="O323" i="8"/>
  <c r="O209" i="8"/>
  <c r="O340" i="8"/>
  <c r="O326" i="8"/>
  <c r="O468" i="8"/>
  <c r="O327" i="8"/>
  <c r="O208" i="8"/>
  <c r="O464" i="8"/>
  <c r="O331" i="8"/>
  <c r="O347" i="8"/>
  <c r="O325" i="8"/>
  <c r="O219" i="8"/>
  <c r="O131" i="8"/>
  <c r="O473" i="8"/>
  <c r="O324" i="8"/>
  <c r="O341" i="8"/>
  <c r="O214" i="8"/>
  <c r="O329" i="8"/>
  <c r="O218" i="8"/>
  <c r="O133" i="8"/>
  <c r="O220" i="8"/>
  <c r="O465" i="8"/>
  <c r="E67" i="5"/>
  <c r="O472" i="8"/>
  <c r="O212" i="8"/>
  <c r="O224" i="8"/>
  <c r="O226" i="8" s="1"/>
  <c r="O470" i="8"/>
  <c r="O207" i="8"/>
  <c r="O330" i="8"/>
  <c r="O229" i="8"/>
  <c r="O469" i="8"/>
  <c r="O339" i="8"/>
  <c r="O130" i="8"/>
  <c r="O462" i="8"/>
  <c r="O205" i="8"/>
  <c r="O146" i="8"/>
  <c r="O321" i="8"/>
  <c r="O364" i="8"/>
  <c r="O255" i="8"/>
  <c r="AC230" i="8"/>
  <c r="AC131" i="8"/>
  <c r="AC468" i="8"/>
  <c r="AC141" i="8"/>
  <c r="AC220" i="8"/>
  <c r="AC341" i="8"/>
  <c r="AC224" i="8"/>
  <c r="AC226" i="8" s="1"/>
  <c r="AC328" i="8"/>
  <c r="E75" i="5"/>
  <c r="AC471" i="8"/>
  <c r="AC229" i="8"/>
  <c r="AC366" i="8"/>
  <c r="AC465" i="8"/>
  <c r="AC209" i="8"/>
  <c r="AC329" i="8"/>
  <c r="AC470" i="8"/>
  <c r="AC147" i="8"/>
  <c r="AC331" i="8"/>
  <c r="AC345" i="8"/>
  <c r="AC347" i="8"/>
  <c r="AC472" i="8"/>
  <c r="AC325" i="8"/>
  <c r="AC466" i="8"/>
  <c r="AC134" i="8"/>
  <c r="AC210" i="8"/>
  <c r="AC473" i="8"/>
  <c r="AC467" i="8"/>
  <c r="AC140" i="8"/>
  <c r="AC324" i="8"/>
  <c r="AC212" i="8"/>
  <c r="AC206" i="8"/>
  <c r="AC323" i="8"/>
  <c r="AC338" i="8"/>
  <c r="AC463" i="8"/>
  <c r="AC326" i="8"/>
  <c r="AC464" i="8"/>
  <c r="AC327" i="8"/>
  <c r="AC330" i="8"/>
  <c r="AC219" i="8"/>
  <c r="AC211" i="8"/>
  <c r="AC469" i="8"/>
  <c r="AC340" i="8"/>
  <c r="AC214" i="8"/>
  <c r="AC213" i="8"/>
  <c r="AC218" i="8"/>
  <c r="AC208" i="8"/>
  <c r="AC339" i="8"/>
  <c r="AC207" i="8"/>
  <c r="AC133" i="8"/>
  <c r="AC142" i="8"/>
  <c r="AC135" i="8"/>
  <c r="AC205" i="8"/>
  <c r="AC255" i="8"/>
  <c r="AC321" i="8"/>
  <c r="AC322" i="8"/>
  <c r="M66" i="7" s="1"/>
  <c r="AC462" i="8"/>
  <c r="AC146" i="8"/>
  <c r="AC148" i="8" s="1"/>
  <c r="AC130" i="8"/>
  <c r="AC364" i="8"/>
  <c r="AG468" i="8"/>
  <c r="AG140" i="8"/>
  <c r="AG219" i="8"/>
  <c r="AG131" i="8"/>
  <c r="AG326" i="8"/>
  <c r="AG328" i="8"/>
  <c r="AG218" i="8"/>
  <c r="AG142" i="8"/>
  <c r="AG133" i="8"/>
  <c r="AG209" i="8"/>
  <c r="AG330" i="8"/>
  <c r="E77" i="5"/>
  <c r="AG325" i="8"/>
  <c r="AG208" i="8"/>
  <c r="AG211" i="8"/>
  <c r="AG338" i="8"/>
  <c r="AG207" i="8"/>
  <c r="AG341" i="8"/>
  <c r="AG147" i="8"/>
  <c r="AG212" i="8"/>
  <c r="AG329" i="8"/>
  <c r="AG473" i="8"/>
  <c r="AG327" i="8"/>
  <c r="AG224" i="8"/>
  <c r="AG226" i="8" s="1"/>
  <c r="AG230" i="8"/>
  <c r="AG465" i="8"/>
  <c r="AG464" i="8"/>
  <c r="AG463" i="8"/>
  <c r="AG340" i="8"/>
  <c r="AG347" i="8"/>
  <c r="AG323" i="8"/>
  <c r="AG205" i="8"/>
  <c r="AG331" i="8"/>
  <c r="AG213" i="8"/>
  <c r="AG134" i="8"/>
  <c r="AG229" i="8"/>
  <c r="AG469" i="8"/>
  <c r="AG141" i="8"/>
  <c r="AG471" i="8"/>
  <c r="AG467" i="8"/>
  <c r="AG135" i="8"/>
  <c r="AG324" i="8"/>
  <c r="AG214" i="8"/>
  <c r="AG472" i="8"/>
  <c r="AG206" i="8"/>
  <c r="AG470" i="8"/>
  <c r="AG220" i="8"/>
  <c r="AG366" i="8"/>
  <c r="AG339" i="8"/>
  <c r="AG210" i="8"/>
  <c r="AG466" i="8"/>
  <c r="AG345" i="8"/>
  <c r="AG255" i="8"/>
  <c r="AG130" i="8"/>
  <c r="AG146" i="8"/>
  <c r="AG321" i="8"/>
  <c r="AG462" i="8"/>
  <c r="AG322" i="8"/>
  <c r="Q66" i="7" s="1"/>
  <c r="AG364" i="8"/>
  <c r="Q472" i="8"/>
  <c r="Q230" i="8"/>
  <c r="Q133" i="8"/>
  <c r="Q207" i="8"/>
  <c r="E68" i="5"/>
  <c r="Q465" i="8"/>
  <c r="Q219" i="8"/>
  <c r="Q327" i="8"/>
  <c r="Q322" i="8"/>
  <c r="Q220" i="8"/>
  <c r="Q468" i="8"/>
  <c r="Q328" i="8"/>
  <c r="Q210" i="8"/>
  <c r="Q330" i="8"/>
  <c r="Q331" i="8"/>
  <c r="Q212" i="8"/>
  <c r="Q469" i="8"/>
  <c r="Q211" i="8"/>
  <c r="Q208" i="8"/>
  <c r="Q213" i="8"/>
  <c r="Q466" i="8"/>
  <c r="Q141" i="8"/>
  <c r="Q325" i="8"/>
  <c r="Q135" i="8"/>
  <c r="Q324" i="8"/>
  <c r="Q224" i="8"/>
  <c r="Q226" i="8" s="1"/>
  <c r="Q218" i="8"/>
  <c r="Q339" i="8"/>
  <c r="Q206" i="8"/>
  <c r="Q131" i="8"/>
  <c r="Q463" i="8"/>
  <c r="Q471" i="8"/>
  <c r="Q329" i="8"/>
  <c r="Q209" i="8"/>
  <c r="Q340" i="8"/>
  <c r="Q366" i="8"/>
  <c r="Q467" i="8"/>
  <c r="Q142" i="8"/>
  <c r="Q214" i="8"/>
  <c r="Q229" i="8"/>
  <c r="Q147" i="8"/>
  <c r="Q473" i="8"/>
  <c r="Q341" i="8"/>
  <c r="Q134" i="8"/>
  <c r="Q347" i="8"/>
  <c r="Q470" i="8"/>
  <c r="Q464" i="8"/>
  <c r="Q323" i="8"/>
  <c r="Q338" i="8"/>
  <c r="Q326" i="8"/>
  <c r="Q140" i="8"/>
  <c r="Q345" i="8"/>
  <c r="Q321" i="8"/>
  <c r="Q130" i="8"/>
  <c r="Q462" i="8"/>
  <c r="Q364" i="8"/>
  <c r="Q255" i="8"/>
  <c r="Q146" i="8"/>
  <c r="Q205" i="8"/>
  <c r="AG148" i="8" l="1"/>
  <c r="W148" i="8"/>
  <c r="M348" i="8"/>
  <c r="AG475" i="8"/>
  <c r="W348" i="8"/>
  <c r="G67" i="7" s="1"/>
  <c r="S475" i="8"/>
  <c r="AA475" i="8"/>
  <c r="C103" i="5" s="1"/>
  <c r="M475" i="8"/>
  <c r="Q475" i="8"/>
  <c r="Q404" i="8" s="1"/>
  <c r="AC475" i="8"/>
  <c r="W475" i="8"/>
  <c r="O475" i="8"/>
  <c r="O404" i="8" s="1"/>
  <c r="C96" i="5" s="1"/>
  <c r="Y475" i="8"/>
  <c r="Y404" i="8" s="1"/>
  <c r="K475" i="8"/>
  <c r="AE475" i="8"/>
  <c r="U475" i="8"/>
  <c r="U404" i="8" s="1"/>
  <c r="C99" i="5" s="1"/>
  <c r="O221" i="8"/>
  <c r="S332" i="8"/>
  <c r="S334" i="8" s="1"/>
  <c r="AE348" i="8"/>
  <c r="O67" i="7" s="1"/>
  <c r="M148" i="8"/>
  <c r="AA348" i="8"/>
  <c r="K67" i="7" s="1"/>
  <c r="G54" i="7"/>
  <c r="AG348" i="8"/>
  <c r="Q67" i="7" s="1"/>
  <c r="AG332" i="8"/>
  <c r="AG334" i="8" s="1"/>
  <c r="AG406" i="8" s="1"/>
  <c r="C133" i="5" s="1"/>
  <c r="AC348" i="8"/>
  <c r="M67" i="7" s="1"/>
  <c r="W332" i="8"/>
  <c r="W334" i="8" s="1"/>
  <c r="W221" i="8"/>
  <c r="I54" i="7"/>
  <c r="K54" i="7"/>
  <c r="U332" i="8"/>
  <c r="U334" i="8" s="1"/>
  <c r="U406" i="8" s="1"/>
  <c r="C126" i="5" s="1"/>
  <c r="M215" i="8"/>
  <c r="Y221" i="8"/>
  <c r="Q332" i="8"/>
  <c r="Q334" i="8" s="1"/>
  <c r="Q148" i="8"/>
  <c r="Y148" i="8"/>
  <c r="O54" i="7"/>
  <c r="O148" i="8"/>
  <c r="AA221" i="8"/>
  <c r="U215" i="8"/>
  <c r="AG404" i="8"/>
  <c r="M53" i="7"/>
  <c r="AC215" i="8"/>
  <c r="O215" i="8"/>
  <c r="O348" i="8"/>
  <c r="W215" i="8"/>
  <c r="G53" i="7"/>
  <c r="M332" i="8"/>
  <c r="M334" i="8" s="1"/>
  <c r="M406" i="8" s="1"/>
  <c r="AI255" i="8"/>
  <c r="AI230" i="8"/>
  <c r="AI218" i="8"/>
  <c r="K221" i="8"/>
  <c r="AI330" i="8"/>
  <c r="AI324" i="8"/>
  <c r="AI131" i="8"/>
  <c r="AI340" i="8"/>
  <c r="Q53" i="7"/>
  <c r="AG215" i="8"/>
  <c r="AI364" i="8"/>
  <c r="AI329" i="8"/>
  <c r="AI205" i="8"/>
  <c r="K215" i="8"/>
  <c r="AI322" i="8"/>
  <c r="AI341" i="8"/>
  <c r="AG221" i="8"/>
  <c r="AI462" i="8"/>
  <c r="AI327" i="8"/>
  <c r="AI135" i="8"/>
  <c r="AI134" i="8"/>
  <c r="AI220" i="8"/>
  <c r="AI142" i="8"/>
  <c r="S221" i="8"/>
  <c r="Q348" i="8"/>
  <c r="Q215" i="8"/>
  <c r="Q221" i="8"/>
  <c r="E66" i="7"/>
  <c r="Y332" i="8"/>
  <c r="Y334" i="8" s="1"/>
  <c r="M404" i="8"/>
  <c r="AI321" i="8"/>
  <c r="K332" i="8"/>
  <c r="E78" i="5"/>
  <c r="AI140" i="8"/>
  <c r="AI463" i="8"/>
  <c r="AI133" i="8"/>
  <c r="AI470" i="8"/>
  <c r="AI212" i="8"/>
  <c r="AA332" i="8"/>
  <c r="AA334" i="8" s="1"/>
  <c r="AA406" i="8" s="1"/>
  <c r="AE332" i="8"/>
  <c r="AE334" i="8" s="1"/>
  <c r="AE215" i="8"/>
  <c r="O53" i="7"/>
  <c r="U221" i="8"/>
  <c r="Q54" i="7"/>
  <c r="AI146" i="8"/>
  <c r="K148" i="8"/>
  <c r="AI211" i="8"/>
  <c r="AI213" i="8"/>
  <c r="AI214" i="8"/>
  <c r="AI345" i="8"/>
  <c r="K348" i="8"/>
  <c r="AI323" i="8"/>
  <c r="S215" i="8"/>
  <c r="M54" i="7"/>
  <c r="M221" i="8"/>
  <c r="AI130" i="8"/>
  <c r="AI219" i="8"/>
  <c r="AI339" i="8"/>
  <c r="AI338" i="8"/>
  <c r="AI207" i="8"/>
  <c r="AI206" i="8"/>
  <c r="S148" i="8"/>
  <c r="S348" i="8"/>
  <c r="AA215" i="8"/>
  <c r="K53" i="7"/>
  <c r="AC332" i="8"/>
  <c r="AC334" i="8" s="1"/>
  <c r="O332" i="8"/>
  <c r="O334" i="8" s="1"/>
  <c r="AI366" i="8"/>
  <c r="AI326" i="8"/>
  <c r="AI210" i="8"/>
  <c r="AI473" i="8"/>
  <c r="AI328" i="8"/>
  <c r="AI229" i="8"/>
  <c r="AC221" i="8"/>
  <c r="Y215" i="8"/>
  <c r="I53" i="7"/>
  <c r="I57" i="7" s="1"/>
  <c r="Y348" i="8"/>
  <c r="I67" i="7" s="1"/>
  <c r="AI209" i="8"/>
  <c r="AI325" i="8"/>
  <c r="AI141" i="8"/>
  <c r="AI208" i="8"/>
  <c r="K226" i="8"/>
  <c r="AI226" i="8" s="1"/>
  <c r="AI224" i="8"/>
  <c r="AI331" i="8"/>
  <c r="AE221" i="8"/>
  <c r="U148" i="8"/>
  <c r="W406" i="8" l="1"/>
  <c r="C128" i="5" s="1"/>
  <c r="O406" i="8"/>
  <c r="S406" i="8"/>
  <c r="AE406" i="8"/>
  <c r="Y232" i="8"/>
  <c r="O232" i="8"/>
  <c r="U232" i="8"/>
  <c r="K57" i="7"/>
  <c r="C102" i="5"/>
  <c r="AC406" i="8"/>
  <c r="C131" i="5" s="1"/>
  <c r="W232" i="8"/>
  <c r="AA232" i="8"/>
  <c r="M232" i="8"/>
  <c r="O57" i="7"/>
  <c r="S232" i="8"/>
  <c r="H9" i="21" s="1"/>
  <c r="Q406" i="8"/>
  <c r="C124" i="5" s="1"/>
  <c r="AA404" i="8"/>
  <c r="Q232" i="8"/>
  <c r="F9" i="21" s="1"/>
  <c r="E54" i="7"/>
  <c r="AI348" i="8"/>
  <c r="C125" i="5"/>
  <c r="C105" i="5"/>
  <c r="AE404" i="8"/>
  <c r="C101" i="5"/>
  <c r="W404" i="8"/>
  <c r="C95" i="5"/>
  <c r="AG232" i="8"/>
  <c r="Y406" i="8"/>
  <c r="Q57" i="7"/>
  <c r="E67" i="7"/>
  <c r="AI215" i="8"/>
  <c r="K232" i="8"/>
  <c r="AC232" i="8"/>
  <c r="C97" i="5"/>
  <c r="AI475" i="8"/>
  <c r="K404" i="8"/>
  <c r="C122" i="5"/>
  <c r="M57" i="7"/>
  <c r="C123" i="5"/>
  <c r="AE232" i="8"/>
  <c r="C106" i="5"/>
  <c r="AI148" i="8"/>
  <c r="C104" i="5"/>
  <c r="AC404" i="8"/>
  <c r="C132" i="5"/>
  <c r="AI332" i="8"/>
  <c r="K334" i="8"/>
  <c r="C98" i="5"/>
  <c r="S404" i="8"/>
  <c r="G57" i="7"/>
  <c r="E53" i="7"/>
  <c r="E57" i="7" s="1"/>
  <c r="C130" i="5"/>
  <c r="AI221" i="8"/>
  <c r="C129" i="5" l="1"/>
  <c r="AI334" i="8"/>
  <c r="K406" i="8"/>
  <c r="AI232" i="8"/>
  <c r="C94" i="5"/>
  <c r="C107" i="5" s="1"/>
  <c r="AI404" i="8"/>
  <c r="S405" i="8" s="1"/>
  <c r="W405" i="8" l="1"/>
  <c r="K405" i="8"/>
  <c r="E94" i="5" s="1"/>
  <c r="AI406" i="8"/>
  <c r="C121" i="5"/>
  <c r="C134" i="5" s="1"/>
  <c r="K407" i="8"/>
  <c r="E98" i="5"/>
  <c r="S238" i="8"/>
  <c r="S136" i="8"/>
  <c r="S479" i="8"/>
  <c r="O405" i="8"/>
  <c r="U405" i="8"/>
  <c r="M405" i="8"/>
  <c r="AG405" i="8"/>
  <c r="Y405" i="8"/>
  <c r="AA405" i="8"/>
  <c r="Q405" i="8"/>
  <c r="K136" i="8"/>
  <c r="K238" i="8"/>
  <c r="K479" i="8"/>
  <c r="AE405" i="8"/>
  <c r="AC405" i="8"/>
  <c r="AI405" i="8" l="1"/>
  <c r="AJ405" i="8" s="1"/>
  <c r="E97" i="5"/>
  <c r="Q136" i="8"/>
  <c r="Q479" i="8"/>
  <c r="Q238" i="8"/>
  <c r="AC479" i="8"/>
  <c r="E104" i="5"/>
  <c r="AC136" i="8"/>
  <c r="AC238" i="8"/>
  <c r="M42" i="7" s="1"/>
  <c r="AE479" i="8"/>
  <c r="E105" i="5"/>
  <c r="AE238" i="8"/>
  <c r="O42" i="7" s="1"/>
  <c r="AE136" i="8"/>
  <c r="E102" i="5"/>
  <c r="Y238" i="8"/>
  <c r="I42" i="7" s="1"/>
  <c r="Y136" i="8"/>
  <c r="Y479" i="8"/>
  <c r="E106" i="5"/>
  <c r="AG136" i="8"/>
  <c r="AG479" i="8"/>
  <c r="AG238" i="8"/>
  <c r="Q42" i="7" s="1"/>
  <c r="K354" i="8"/>
  <c r="K355" i="8"/>
  <c r="K369" i="8"/>
  <c r="E121" i="5"/>
  <c r="K356" i="8"/>
  <c r="K337" i="8"/>
  <c r="K367" i="8"/>
  <c r="K353" i="8"/>
  <c r="E96" i="5"/>
  <c r="O136" i="8"/>
  <c r="O479" i="8"/>
  <c r="O238" i="8"/>
  <c r="M238" i="8"/>
  <c r="M479" i="8"/>
  <c r="E95" i="5"/>
  <c r="M136" i="8"/>
  <c r="W479" i="8"/>
  <c r="E101" i="5"/>
  <c r="W238" i="8"/>
  <c r="G42" i="7" s="1"/>
  <c r="W136" i="8"/>
  <c r="AA479" i="8"/>
  <c r="AA238" i="8"/>
  <c r="K42" i="7" s="1"/>
  <c r="E103" i="5"/>
  <c r="AA136" i="8"/>
  <c r="U479" i="8"/>
  <c r="U238" i="8"/>
  <c r="U136" i="8"/>
  <c r="E99" i="5"/>
  <c r="U407" i="8"/>
  <c r="W407" i="8"/>
  <c r="AG407" i="8"/>
  <c r="S407" i="8"/>
  <c r="M407" i="8"/>
  <c r="Q407" i="8"/>
  <c r="AE407" i="8"/>
  <c r="AC407" i="8"/>
  <c r="AA407" i="8"/>
  <c r="O407" i="8"/>
  <c r="Y407" i="8"/>
  <c r="E42" i="7" l="1"/>
  <c r="AI479" i="8"/>
  <c r="AI407" i="8"/>
  <c r="AJ407" i="8" s="1"/>
  <c r="E107" i="5"/>
  <c r="AI238" i="8"/>
  <c r="K342" i="8"/>
  <c r="G41" i="7"/>
  <c r="Q41" i="7"/>
  <c r="Q44" i="7" s="1"/>
  <c r="O41" i="7"/>
  <c r="O44" i="7" s="1"/>
  <c r="AE356" i="8"/>
  <c r="AE354" i="8"/>
  <c r="AE369" i="8"/>
  <c r="AE353" i="8"/>
  <c r="E132" i="5"/>
  <c r="AE355" i="8"/>
  <c r="AE337" i="8"/>
  <c r="AE342" i="8" s="1"/>
  <c r="AE367" i="8"/>
  <c r="S367" i="8"/>
  <c r="S337" i="8"/>
  <c r="S342" i="8" s="1"/>
  <c r="S353" i="8"/>
  <c r="S356" i="8"/>
  <c r="S369" i="8"/>
  <c r="S354" i="8"/>
  <c r="S355" i="8"/>
  <c r="E125" i="5"/>
  <c r="K41" i="7"/>
  <c r="K44" i="7" s="1"/>
  <c r="Q369" i="8"/>
  <c r="E124" i="5"/>
  <c r="Q356" i="8"/>
  <c r="Q354" i="8"/>
  <c r="Q337" i="8"/>
  <c r="Q342" i="8" s="1"/>
  <c r="Q367" i="8"/>
  <c r="Q353" i="8"/>
  <c r="Q355" i="8"/>
  <c r="M367" i="8"/>
  <c r="M369" i="8"/>
  <c r="E122" i="5"/>
  <c r="M356" i="8"/>
  <c r="M354" i="8"/>
  <c r="M355" i="8"/>
  <c r="M337" i="8"/>
  <c r="M342" i="8" s="1"/>
  <c r="M353" i="8"/>
  <c r="W355" i="8"/>
  <c r="W369" i="8"/>
  <c r="W356" i="8"/>
  <c r="W337" i="8"/>
  <c r="W342" i="8" s="1"/>
  <c r="W354" i="8"/>
  <c r="W367" i="8"/>
  <c r="E128" i="5"/>
  <c r="W353" i="8"/>
  <c r="E133" i="5"/>
  <c r="AG355" i="8"/>
  <c r="AG354" i="8"/>
  <c r="AG337" i="8"/>
  <c r="AG342" i="8" s="1"/>
  <c r="AG356" i="8"/>
  <c r="AG369" i="8"/>
  <c r="AG367" i="8"/>
  <c r="AG353" i="8"/>
  <c r="K358" i="8"/>
  <c r="I41" i="7"/>
  <c r="I44" i="7" s="1"/>
  <c r="M41" i="7"/>
  <c r="M44" i="7" s="1"/>
  <c r="Y356" i="8"/>
  <c r="Y355" i="8"/>
  <c r="Y354" i="8"/>
  <c r="E129" i="5"/>
  <c r="Y369" i="8"/>
  <c r="Y367" i="8"/>
  <c r="Y353" i="8"/>
  <c r="Y337" i="8"/>
  <c r="Y342" i="8" s="1"/>
  <c r="O369" i="8"/>
  <c r="O337" i="8"/>
  <c r="O342" i="8" s="1"/>
  <c r="O355" i="8"/>
  <c r="O354" i="8"/>
  <c r="O356" i="8"/>
  <c r="E123" i="5"/>
  <c r="O367" i="8"/>
  <c r="O353" i="8"/>
  <c r="AA356" i="8"/>
  <c r="E130" i="5"/>
  <c r="AA369" i="8"/>
  <c r="AA367" i="8"/>
  <c r="AA337" i="8"/>
  <c r="AA342" i="8" s="1"/>
  <c r="AA354" i="8"/>
  <c r="AA355" i="8"/>
  <c r="AA353" i="8"/>
  <c r="U367" i="8"/>
  <c r="U355" i="8"/>
  <c r="U337" i="8"/>
  <c r="U342" i="8" s="1"/>
  <c r="U356" i="8"/>
  <c r="U369" i="8"/>
  <c r="U354" i="8"/>
  <c r="E126" i="5"/>
  <c r="U353" i="8"/>
  <c r="AC369" i="8"/>
  <c r="AC356" i="8"/>
  <c r="AC353" i="8"/>
  <c r="AC354" i="8"/>
  <c r="AC355" i="8"/>
  <c r="E131" i="5"/>
  <c r="AC337" i="8"/>
  <c r="AC342" i="8" s="1"/>
  <c r="AC367" i="8"/>
  <c r="K370" i="8"/>
  <c r="AI136" i="8"/>
  <c r="AI354" i="8" l="1"/>
  <c r="AI355" i="8"/>
  <c r="AI367" i="8"/>
  <c r="AI369" i="8"/>
  <c r="S358" i="8"/>
  <c r="S360" i="8" s="1"/>
  <c r="E134" i="5"/>
  <c r="AI356" i="8"/>
  <c r="M358" i="8"/>
  <c r="M360" i="8" s="1"/>
  <c r="S370" i="8"/>
  <c r="K68" i="7"/>
  <c r="K71" i="7" s="1"/>
  <c r="K74" i="7" s="1"/>
  <c r="K77" i="7" s="1"/>
  <c r="K82" i="7" s="1"/>
  <c r="AA370" i="8"/>
  <c r="M370" i="8"/>
  <c r="W358" i="8"/>
  <c r="W360" i="8" s="1"/>
  <c r="S372" i="8"/>
  <c r="AC358" i="8"/>
  <c r="AC360" i="8" s="1"/>
  <c r="K372" i="8"/>
  <c r="Q358" i="8"/>
  <c r="Q360" i="8" s="1"/>
  <c r="O68" i="7"/>
  <c r="O71" i="7" s="1"/>
  <c r="O74" i="7" s="1"/>
  <c r="O77" i="7" s="1"/>
  <c r="O82" i="7" s="1"/>
  <c r="AE370" i="8"/>
  <c r="G44" i="7"/>
  <c r="E41" i="7"/>
  <c r="E44" i="7" s="1"/>
  <c r="K360" i="8"/>
  <c r="G68" i="7"/>
  <c r="W370" i="8"/>
  <c r="Q370" i="8"/>
  <c r="Q372" i="8" s="1"/>
  <c r="AI337" i="8"/>
  <c r="M68" i="7"/>
  <c r="M71" i="7" s="1"/>
  <c r="M74" i="7" s="1"/>
  <c r="M77" i="7" s="1"/>
  <c r="M82" i="7" s="1"/>
  <c r="AC370" i="8"/>
  <c r="O358" i="8"/>
  <c r="O360" i="8" s="1"/>
  <c r="AI353" i="8"/>
  <c r="AI342" i="8"/>
  <c r="U358" i="8"/>
  <c r="U360" i="8" s="1"/>
  <c r="O370" i="8"/>
  <c r="Y358" i="8"/>
  <c r="Y360" i="8" s="1"/>
  <c r="AG358" i="8"/>
  <c r="AG360" i="8" s="1"/>
  <c r="U370" i="8"/>
  <c r="AA358" i="8"/>
  <c r="AA360" i="8" s="1"/>
  <c r="I68" i="7"/>
  <c r="I71" i="7" s="1"/>
  <c r="I74" i="7" s="1"/>
  <c r="I77" i="7" s="1"/>
  <c r="I82" i="7" s="1"/>
  <c r="Y370" i="8"/>
  <c r="Y372" i="8" s="1"/>
  <c r="Y408" i="8" s="1"/>
  <c r="Q68" i="7"/>
  <c r="Q71" i="7" s="1"/>
  <c r="Q74" i="7" s="1"/>
  <c r="Q77" i="7" s="1"/>
  <c r="Q82" i="7" s="1"/>
  <c r="AG370" i="8"/>
  <c r="AE358" i="8"/>
  <c r="AE360" i="8" s="1"/>
  <c r="AI360" i="8" l="1"/>
  <c r="U372" i="8"/>
  <c r="M372" i="8"/>
  <c r="K408" i="8"/>
  <c r="C23" i="6"/>
  <c r="N36" i="11"/>
  <c r="S408" i="8"/>
  <c r="AC372" i="8"/>
  <c r="AC408" i="8" s="1"/>
  <c r="E68" i="7"/>
  <c r="E71" i="7" s="1"/>
  <c r="E74" i="7" s="1"/>
  <c r="G71" i="7"/>
  <c r="G74" i="7" s="1"/>
  <c r="G77" i="7" s="1"/>
  <c r="AE372" i="8"/>
  <c r="AE408" i="8" s="1"/>
  <c r="H36" i="11"/>
  <c r="M408" i="8"/>
  <c r="AI370" i="8"/>
  <c r="U408" i="8"/>
  <c r="P36" i="11"/>
  <c r="AG372" i="8"/>
  <c r="AG408" i="8" s="1"/>
  <c r="O372" i="8"/>
  <c r="Q408" i="8"/>
  <c r="AA372" i="8"/>
  <c r="AA408" i="8" s="1"/>
  <c r="AI358" i="8"/>
  <c r="W372" i="8"/>
  <c r="W408" i="8" s="1"/>
  <c r="C20" i="6" l="1"/>
  <c r="C16" i="6"/>
  <c r="F36" i="11"/>
  <c r="C25" i="6"/>
  <c r="C19" i="6"/>
  <c r="C24" i="6"/>
  <c r="C18" i="6"/>
  <c r="L36" i="11"/>
  <c r="G82" i="7"/>
  <c r="E77" i="7"/>
  <c r="C15" i="6"/>
  <c r="P81" i="11"/>
  <c r="C22" i="6"/>
  <c r="N81" i="11"/>
  <c r="H81" i="11"/>
  <c r="C26" i="6"/>
  <c r="J36" i="11"/>
  <c r="O408" i="8"/>
  <c r="C27" i="6"/>
  <c r="AI372" i="8"/>
  <c r="D36" i="11" l="1"/>
  <c r="F81" i="11"/>
  <c r="C17" i="6"/>
  <c r="AI408" i="8"/>
  <c r="L81" i="11"/>
  <c r="J43" i="11"/>
  <c r="J27" i="11" s="1"/>
  <c r="J81" i="11"/>
  <c r="C29" i="6"/>
  <c r="E19" i="6" s="1"/>
  <c r="Y409" i="8" l="1"/>
  <c r="S409" i="8"/>
  <c r="AE409" i="8"/>
  <c r="U409" i="8"/>
  <c r="K409" i="8"/>
  <c r="AA409" i="8"/>
  <c r="AG409" i="8"/>
  <c r="Q409" i="8"/>
  <c r="M409" i="8"/>
  <c r="AC409" i="8"/>
  <c r="W409" i="8"/>
  <c r="Q36" i="11"/>
  <c r="O43" i="11"/>
  <c r="N43" i="11"/>
  <c r="N27" i="11" s="1"/>
  <c r="P43" i="11"/>
  <c r="P27" i="11" s="1"/>
  <c r="H43" i="11"/>
  <c r="H27" i="11" s="1"/>
  <c r="F43" i="11"/>
  <c r="O409" i="8"/>
  <c r="D81" i="11"/>
  <c r="F88" i="11" s="1"/>
  <c r="L43" i="11"/>
  <c r="L27" i="11" s="1"/>
  <c r="K248" i="8" l="1"/>
  <c r="AI409" i="8"/>
  <c r="AJ409" i="8" s="1"/>
  <c r="K240" i="8"/>
  <c r="K246" i="8"/>
  <c r="E15" i="6"/>
  <c r="K236" i="8"/>
  <c r="E17" i="6"/>
  <c r="O246" i="8"/>
  <c r="O240" i="8"/>
  <c r="O248" i="8"/>
  <c r="O236" i="8"/>
  <c r="AE240" i="8"/>
  <c r="E26" i="6"/>
  <c r="AE248" i="8"/>
  <c r="AE246" i="8"/>
  <c r="AE236" i="8"/>
  <c r="H88" i="11"/>
  <c r="H72" i="11" s="1"/>
  <c r="N88" i="11"/>
  <c r="N72" i="11" s="1"/>
  <c r="P88" i="11"/>
  <c r="P72" i="11" s="1"/>
  <c r="J88" i="11"/>
  <c r="J72" i="11" s="1"/>
  <c r="S240" i="8"/>
  <c r="S248" i="8"/>
  <c r="H15" i="21" s="1"/>
  <c r="S246" i="8"/>
  <c r="H13" i="21" s="1"/>
  <c r="S236" i="8"/>
  <c r="Q43" i="11"/>
  <c r="F27" i="11"/>
  <c r="Q27" i="11" s="1"/>
  <c r="M240" i="8"/>
  <c r="E16" i="6"/>
  <c r="M246" i="8"/>
  <c r="M248" i="8"/>
  <c r="M236" i="8"/>
  <c r="Y246" i="8"/>
  <c r="E23" i="6"/>
  <c r="Y240" i="8"/>
  <c r="Y248" i="8"/>
  <c r="Y236" i="8"/>
  <c r="F72" i="11"/>
  <c r="W248" i="8"/>
  <c r="W240" i="8"/>
  <c r="E22" i="6"/>
  <c r="W246" i="8"/>
  <c r="W236" i="8"/>
  <c r="Q240" i="8"/>
  <c r="E18" i="6"/>
  <c r="Q246" i="8"/>
  <c r="F13" i="21" s="1"/>
  <c r="Q248" i="8"/>
  <c r="F15" i="21" s="1"/>
  <c r="Q236" i="8"/>
  <c r="Q81" i="11"/>
  <c r="AG246" i="8"/>
  <c r="AG248" i="8"/>
  <c r="AG240" i="8"/>
  <c r="E27" i="6"/>
  <c r="AG236" i="8"/>
  <c r="U248" i="8"/>
  <c r="E20" i="6"/>
  <c r="U246" i="8"/>
  <c r="U240" i="8"/>
  <c r="U236" i="8"/>
  <c r="AC246" i="8"/>
  <c r="AC248" i="8"/>
  <c r="E25" i="6"/>
  <c r="AC240" i="8"/>
  <c r="AC236" i="8"/>
  <c r="L88" i="11"/>
  <c r="L72" i="11" s="1"/>
  <c r="AA246" i="8"/>
  <c r="AA248" i="8"/>
  <c r="E24" i="6"/>
  <c r="AA240" i="8"/>
  <c r="AA236" i="8"/>
  <c r="Q72" i="11" l="1"/>
  <c r="M410" i="8"/>
  <c r="S410" i="8"/>
  <c r="AE410" i="8"/>
  <c r="AG410" i="8"/>
  <c r="Q88" i="11"/>
  <c r="AI236" i="8"/>
  <c r="K410" i="8"/>
  <c r="Y410" i="8"/>
  <c r="E29" i="6"/>
  <c r="W410" i="8"/>
  <c r="AI246" i="8"/>
  <c r="U410" i="8"/>
  <c r="O410" i="8"/>
  <c r="AI240" i="8"/>
  <c r="AA410" i="8"/>
  <c r="AC410" i="8"/>
  <c r="Q410" i="8"/>
  <c r="AI248" i="8"/>
  <c r="C49" i="6" l="1"/>
  <c r="C53" i="6"/>
  <c r="C44" i="6"/>
  <c r="C50" i="6"/>
  <c r="C54" i="6"/>
  <c r="C46" i="6"/>
  <c r="AI410" i="8"/>
  <c r="W411" i="8" s="1"/>
  <c r="C42" i="6"/>
  <c r="C47" i="6"/>
  <c r="C51" i="6"/>
  <c r="C43" i="6"/>
  <c r="C45" i="6"/>
  <c r="C52" i="6"/>
  <c r="U411" i="8" l="1"/>
  <c r="U138" i="8" s="1"/>
  <c r="U143" i="8" s="1"/>
  <c r="U150" i="8" s="1"/>
  <c r="U152" i="8" s="1"/>
  <c r="M411" i="8"/>
  <c r="Y411" i="8"/>
  <c r="Y239" i="8" s="1"/>
  <c r="K411" i="8"/>
  <c r="K241" i="8" s="1"/>
  <c r="Q411" i="8"/>
  <c r="Q257" i="8" s="1"/>
  <c r="Q258" i="8" s="1"/>
  <c r="W237" i="8"/>
  <c r="W138" i="8"/>
  <c r="W143" i="8" s="1"/>
  <c r="W150" i="8" s="1"/>
  <c r="W152" i="8" s="1"/>
  <c r="W257" i="8"/>
  <c r="W258" i="8" s="1"/>
  <c r="W241" i="8"/>
  <c r="E49" i="6"/>
  <c r="W239" i="8"/>
  <c r="M237" i="8"/>
  <c r="M138" i="8"/>
  <c r="M143" i="8" s="1"/>
  <c r="M150" i="8" s="1"/>
  <c r="M152" i="8" s="1"/>
  <c r="E43" i="6"/>
  <c r="M239" i="8"/>
  <c r="M241" i="8"/>
  <c r="M257" i="8"/>
  <c r="M258" i="8" s="1"/>
  <c r="Y241" i="8"/>
  <c r="E50" i="6"/>
  <c r="Y237" i="8"/>
  <c r="Y138" i="8"/>
  <c r="Y143" i="8" s="1"/>
  <c r="Y150" i="8" s="1"/>
  <c r="Y152" i="8" s="1"/>
  <c r="C56" i="6"/>
  <c r="O411" i="8"/>
  <c r="K257" i="8"/>
  <c r="S411" i="8"/>
  <c r="AE411" i="8"/>
  <c r="AA411" i="8"/>
  <c r="AC411" i="8"/>
  <c r="AG411" i="8"/>
  <c r="K239" i="8" l="1"/>
  <c r="K237" i="8"/>
  <c r="K138" i="8"/>
  <c r="E42" i="6"/>
  <c r="Y257" i="8"/>
  <c r="Y258" i="8" s="1"/>
  <c r="H19" i="11" s="1"/>
  <c r="H21" i="11" s="1"/>
  <c r="Q239" i="8"/>
  <c r="Q237" i="8"/>
  <c r="E45" i="6"/>
  <c r="Q241" i="8"/>
  <c r="U257" i="8"/>
  <c r="U258" i="8" s="1"/>
  <c r="U239" i="8"/>
  <c r="U237" i="8"/>
  <c r="U241" i="8"/>
  <c r="E47" i="6"/>
  <c r="Q138" i="8"/>
  <c r="Q143" i="8" s="1"/>
  <c r="Q150" i="8" s="1"/>
  <c r="Q152" i="8" s="1"/>
  <c r="O237" i="8"/>
  <c r="O138" i="8"/>
  <c r="O143" i="8" s="1"/>
  <c r="O150" i="8" s="1"/>
  <c r="O152" i="8" s="1"/>
  <c r="E44" i="6"/>
  <c r="O241" i="8"/>
  <c r="O257" i="8"/>
  <c r="O258" i="8" s="1"/>
  <c r="O239" i="8"/>
  <c r="Y242" i="8"/>
  <c r="Y244" i="8" s="1"/>
  <c r="Y251" i="8" s="1"/>
  <c r="Y261" i="8" s="1"/>
  <c r="X59" i="10" s="1"/>
  <c r="AB59" i="10" s="1"/>
  <c r="K242" i="8"/>
  <c r="M242" i="8"/>
  <c r="M244" i="8" s="1"/>
  <c r="S257" i="8"/>
  <c r="S258" i="8" s="1"/>
  <c r="S239" i="8"/>
  <c r="S138" i="8"/>
  <c r="S143" i="8" s="1"/>
  <c r="S150" i="8" s="1"/>
  <c r="S152" i="8" s="1"/>
  <c r="E46" i="6"/>
  <c r="S241" i="8"/>
  <c r="S237" i="8"/>
  <c r="K143" i="8"/>
  <c r="AI411" i="8"/>
  <c r="AJ411" i="8" s="1"/>
  <c r="AG239" i="8"/>
  <c r="AG241" i="8"/>
  <c r="AG138" i="8"/>
  <c r="AG143" i="8" s="1"/>
  <c r="AG150" i="8" s="1"/>
  <c r="AG152" i="8" s="1"/>
  <c r="E54" i="6"/>
  <c r="AG257" i="8"/>
  <c r="AG258" i="8" s="1"/>
  <c r="AG237" i="8"/>
  <c r="E52" i="6"/>
  <c r="AC257" i="8"/>
  <c r="AC258" i="8" s="1"/>
  <c r="L19" i="11" s="1"/>
  <c r="AC237" i="8"/>
  <c r="AC138" i="8"/>
  <c r="AC143" i="8" s="1"/>
  <c r="AC150" i="8" s="1"/>
  <c r="AC152" i="8" s="1"/>
  <c r="AC239" i="8"/>
  <c r="AC241" i="8"/>
  <c r="E51" i="6"/>
  <c r="AA241" i="8"/>
  <c r="AA239" i="8"/>
  <c r="AA138" i="8"/>
  <c r="AA143" i="8" s="1"/>
  <c r="AA150" i="8" s="1"/>
  <c r="AA152" i="8" s="1"/>
  <c r="AA237" i="8"/>
  <c r="AA257" i="8"/>
  <c r="AA258" i="8" s="1"/>
  <c r="AE257" i="8"/>
  <c r="AE258" i="8" s="1"/>
  <c r="AE138" i="8"/>
  <c r="AE143" i="8" s="1"/>
  <c r="AE150" i="8" s="1"/>
  <c r="AE152" i="8" s="1"/>
  <c r="AE241" i="8"/>
  <c r="E53" i="6"/>
  <c r="AE237" i="8"/>
  <c r="AE239" i="8"/>
  <c r="K258" i="8"/>
  <c r="W242" i="8"/>
  <c r="W244" i="8" s="1"/>
  <c r="W251" i="8" s="1"/>
  <c r="W261" i="8" s="1"/>
  <c r="X58" i="10" s="1"/>
  <c r="Q242" i="8" l="1"/>
  <c r="P19" i="11"/>
  <c r="U242" i="8"/>
  <c r="U244" i="8" s="1"/>
  <c r="U251" i="8" s="1"/>
  <c r="U261" i="8" s="1"/>
  <c r="X54" i="10" s="1"/>
  <c r="AJ54" i="10" s="1"/>
  <c r="AJ55" i="10" s="1"/>
  <c r="H64" i="11"/>
  <c r="AI241" i="8"/>
  <c r="E56" i="6"/>
  <c r="AI239" i="8"/>
  <c r="AA242" i="8"/>
  <c r="AA244" i="8" s="1"/>
  <c r="AA251" i="8" s="1"/>
  <c r="AA261" i="8" s="1"/>
  <c r="X60" i="10" s="1"/>
  <c r="AD60" i="10" s="1"/>
  <c r="AC242" i="8"/>
  <c r="AC244" i="8" s="1"/>
  <c r="AC251" i="8" s="1"/>
  <c r="AC261" i="8" s="1"/>
  <c r="X61" i="10" s="1"/>
  <c r="AF61" i="10" s="1"/>
  <c r="P21" i="11"/>
  <c r="P64" i="11"/>
  <c r="L64" i="11"/>
  <c r="L21" i="11"/>
  <c r="H66" i="11"/>
  <c r="AB64" i="10"/>
  <c r="I10" i="7"/>
  <c r="I14" i="7" s="1"/>
  <c r="Z58" i="10"/>
  <c r="AI258" i="8"/>
  <c r="F19" i="11"/>
  <c r="J19" i="11"/>
  <c r="AI257" i="8"/>
  <c r="N19" i="11"/>
  <c r="AG242" i="8"/>
  <c r="AG244" i="8" s="1"/>
  <c r="AG251" i="8" s="1"/>
  <c r="AG261" i="8" s="1"/>
  <c r="X63" i="10" s="1"/>
  <c r="AJ63" i="10" s="1"/>
  <c r="AI143" i="8"/>
  <c r="K150" i="8"/>
  <c r="M251" i="8"/>
  <c r="M261" i="8" s="1"/>
  <c r="X50" i="10" s="1"/>
  <c r="AB50" i="10" s="1"/>
  <c r="AB55" i="10" s="1"/>
  <c r="H23" i="11"/>
  <c r="AI138" i="8"/>
  <c r="AE242" i="8"/>
  <c r="AE244" i="8" s="1"/>
  <c r="AE251" i="8" s="1"/>
  <c r="AE261" i="8" s="1"/>
  <c r="X62" i="10" s="1"/>
  <c r="AH62" i="10" s="1"/>
  <c r="F11" i="21"/>
  <c r="F17" i="21" s="1"/>
  <c r="F19" i="21" s="1"/>
  <c r="F23" i="21" s="1"/>
  <c r="Q244" i="8"/>
  <c r="S242" i="8"/>
  <c r="O242" i="8"/>
  <c r="O244" i="8" s="1"/>
  <c r="AI237" i="8"/>
  <c r="AI242" i="8" l="1"/>
  <c r="J64" i="11"/>
  <c r="J21" i="11"/>
  <c r="H11" i="21"/>
  <c r="H17" i="21" s="1"/>
  <c r="H19" i="21" s="1"/>
  <c r="H23" i="21" s="1"/>
  <c r="S244" i="8"/>
  <c r="F64" i="11"/>
  <c r="D19" i="11"/>
  <c r="F21" i="11"/>
  <c r="O10" i="7"/>
  <c r="O14" i="7" s="1"/>
  <c r="AH64" i="10"/>
  <c r="G10" i="7"/>
  <c r="Z64" i="10"/>
  <c r="L66" i="11"/>
  <c r="Q10" i="7"/>
  <c r="Q14" i="7" s="1"/>
  <c r="AJ64" i="10"/>
  <c r="AJ67" i="10" s="1"/>
  <c r="AJ73" i="10" s="1"/>
  <c r="D26" i="10" s="1"/>
  <c r="X64" i="10"/>
  <c r="P66" i="11"/>
  <c r="L23" i="11"/>
  <c r="L25" i="11" s="1"/>
  <c r="Q251" i="8"/>
  <c r="Q261" i="8" s="1"/>
  <c r="X52" i="10" s="1"/>
  <c r="AF52" i="10" s="1"/>
  <c r="AF55" i="10" s="1"/>
  <c r="M10" i="7"/>
  <c r="M14" i="7" s="1"/>
  <c r="AF64" i="10"/>
  <c r="H68" i="11"/>
  <c r="AI150" i="8"/>
  <c r="K152" i="8"/>
  <c r="H25" i="11"/>
  <c r="K10" i="7"/>
  <c r="K14" i="7" s="1"/>
  <c r="AD64" i="10"/>
  <c r="J23" i="11"/>
  <c r="O251" i="8"/>
  <c r="O261" i="8" s="1"/>
  <c r="X51" i="10" s="1"/>
  <c r="AD51" i="10" s="1"/>
  <c r="AD55" i="10" s="1"/>
  <c r="P23" i="11"/>
  <c r="N21" i="11"/>
  <c r="N64" i="11"/>
  <c r="AB67" i="10"/>
  <c r="AB73" i="10" s="1"/>
  <c r="D18" i="10" s="1"/>
  <c r="AF67" i="10" l="1"/>
  <c r="AF73" i="10" s="1"/>
  <c r="D22" i="10" s="1"/>
  <c r="D21" i="11"/>
  <c r="Q19" i="11"/>
  <c r="P68" i="11"/>
  <c r="D64" i="11"/>
  <c r="Q64" i="11" s="1"/>
  <c r="F66" i="11"/>
  <c r="N23" i="11"/>
  <c r="S251" i="8"/>
  <c r="S261" i="8" s="1"/>
  <c r="X53" i="10" s="1"/>
  <c r="AH53" i="10" s="1"/>
  <c r="AH55" i="10" s="1"/>
  <c r="AH67" i="10" s="1"/>
  <c r="AH73" i="10" s="1"/>
  <c r="D24" i="10" s="1"/>
  <c r="J25" i="11"/>
  <c r="G14" i="7"/>
  <c r="E10" i="7"/>
  <c r="J68" i="11"/>
  <c r="H70" i="11"/>
  <c r="L29" i="11"/>
  <c r="J66" i="11"/>
  <c r="P25" i="11"/>
  <c r="AD67" i="10"/>
  <c r="AD73" i="10" s="1"/>
  <c r="D20" i="10" s="1"/>
  <c r="H29" i="11"/>
  <c r="N66" i="11"/>
  <c r="AI152" i="8"/>
  <c r="K244" i="8"/>
  <c r="L68" i="11"/>
  <c r="J70" i="11" l="1"/>
  <c r="L70" i="11"/>
  <c r="L74" i="11" s="1"/>
  <c r="N68" i="11"/>
  <c r="H74" i="11"/>
  <c r="P70" i="11"/>
  <c r="J29" i="11"/>
  <c r="Q21" i="11"/>
  <c r="P29" i="11"/>
  <c r="AI244" i="8"/>
  <c r="F23" i="11"/>
  <c r="F68" i="11"/>
  <c r="K251" i="8"/>
  <c r="J74" i="11"/>
  <c r="N25" i="11"/>
  <c r="D66" i="11"/>
  <c r="Q66" i="11" s="1"/>
  <c r="N70" i="11" l="1"/>
  <c r="K261" i="8"/>
  <c r="AI251" i="8"/>
  <c r="P74" i="11"/>
  <c r="D68" i="11"/>
  <c r="Q68" i="11" s="1"/>
  <c r="D23" i="11"/>
  <c r="F25" i="11"/>
  <c r="F70" i="11"/>
  <c r="N74" i="11"/>
  <c r="N29" i="11"/>
  <c r="D70" i="11" l="1"/>
  <c r="D74" i="11" s="1"/>
  <c r="X49" i="10"/>
  <c r="AI261" i="8"/>
  <c r="F74" i="11"/>
  <c r="F29" i="11"/>
  <c r="Q23" i="11"/>
  <c r="D25" i="11"/>
  <c r="D78" i="11" l="1"/>
  <c r="D83" i="11" s="1"/>
  <c r="D85" i="11" s="1"/>
  <c r="Q70" i="11"/>
  <c r="F89" i="11"/>
  <c r="Q25" i="11"/>
  <c r="D29" i="11"/>
  <c r="F44" i="11" s="1"/>
  <c r="D33" i="11"/>
  <c r="Q74" i="11"/>
  <c r="L89" i="11"/>
  <c r="L76" i="11" s="1"/>
  <c r="L78" i="11" s="1"/>
  <c r="L83" i="11" s="1"/>
  <c r="L85" i="11" s="1"/>
  <c r="H89" i="11"/>
  <c r="H76" i="11" s="1"/>
  <c r="H78" i="11" s="1"/>
  <c r="H83" i="11" s="1"/>
  <c r="H85" i="11" s="1"/>
  <c r="J89" i="11"/>
  <c r="J76" i="11" s="1"/>
  <c r="J78" i="11" s="1"/>
  <c r="J83" i="11" s="1"/>
  <c r="J85" i="11" s="1"/>
  <c r="Z49" i="10"/>
  <c r="Z55" i="10" s="1"/>
  <c r="Z67" i="10" s="1"/>
  <c r="Z73" i="10" s="1"/>
  <c r="D16" i="10" s="1"/>
  <c r="X55" i="10"/>
  <c r="X67" i="10" s="1"/>
  <c r="X73" i="10" s="1"/>
  <c r="N89" i="11"/>
  <c r="N76" i="11" s="1"/>
  <c r="N78" i="11" s="1"/>
  <c r="N83" i="11" s="1"/>
  <c r="N85" i="11" s="1"/>
  <c r="P89" i="11"/>
  <c r="P76" i="11" s="1"/>
  <c r="P78" i="11" s="1"/>
  <c r="P83" i="11" s="1"/>
  <c r="P85" i="11" s="1"/>
  <c r="F76" i="11" l="1"/>
  <c r="Q89" i="11"/>
  <c r="D38" i="11"/>
  <c r="D40" i="11" s="1"/>
  <c r="D28" i="10"/>
  <c r="Q29" i="11"/>
  <c r="O44" i="11"/>
  <c r="H44" i="11"/>
  <c r="H31" i="11" s="1"/>
  <c r="H33" i="11" s="1"/>
  <c r="H38" i="11" s="1"/>
  <c r="L44" i="11"/>
  <c r="L31" i="11" s="1"/>
  <c r="L33" i="11" s="1"/>
  <c r="L38" i="11" s="1"/>
  <c r="J44" i="11"/>
  <c r="J31" i="11" s="1"/>
  <c r="J33" i="11" s="1"/>
  <c r="J38" i="11" s="1"/>
  <c r="P44" i="11"/>
  <c r="P31" i="11" s="1"/>
  <c r="P33" i="11" s="1"/>
  <c r="P38" i="11" s="1"/>
  <c r="P40" i="11" s="1"/>
  <c r="N44" i="11"/>
  <c r="N31" i="11" s="1"/>
  <c r="N33" i="11" s="1"/>
  <c r="N38" i="11" s="1"/>
  <c r="N40" i="11" s="1"/>
  <c r="F31" i="11"/>
  <c r="L40" i="11" l="1"/>
  <c r="Q44" i="11"/>
  <c r="J40" i="11"/>
  <c r="Q76" i="11"/>
  <c r="F78" i="11"/>
  <c r="Q31" i="11"/>
  <c r="F33" i="11"/>
  <c r="D33" i="10"/>
  <c r="F26" i="10"/>
  <c r="F18" i="10"/>
  <c r="F22" i="10"/>
  <c r="F24" i="10"/>
  <c r="F103" i="10"/>
  <c r="F20" i="10"/>
  <c r="F95" i="10"/>
  <c r="F99" i="10"/>
  <c r="F97" i="10"/>
  <c r="F101" i="10"/>
  <c r="F93" i="10"/>
  <c r="D105" i="10"/>
  <c r="D110" i="10" s="1"/>
  <c r="F16" i="10"/>
  <c r="H40" i="11"/>
  <c r="F38" i="11" l="1"/>
  <c r="F40" i="11" s="1"/>
  <c r="Q33" i="11"/>
  <c r="Q78" i="11"/>
  <c r="F83" i="11"/>
  <c r="F85" i="11" s="1"/>
  <c r="F28" i="10"/>
  <c r="F105" i="10"/>
  <c r="D38" i="10"/>
  <c r="D40" i="10" s="1"/>
  <c r="L36" i="10"/>
</calcChain>
</file>

<file path=xl/sharedStrings.xml><?xml version="1.0" encoding="utf-8"?>
<sst xmlns="http://schemas.openxmlformats.org/spreadsheetml/2006/main" count="1982" uniqueCount="838">
  <si>
    <t>Increase</t>
  </si>
  <si>
    <t>Percent</t>
  </si>
  <si>
    <t>Cost of Service</t>
  </si>
  <si>
    <t xml:space="preserve"> Schedule A</t>
  </si>
  <si>
    <t>Under Present Rates</t>
  </si>
  <si>
    <t>Amount</t>
  </si>
  <si>
    <t>Other Operating Revenues</t>
  </si>
  <si>
    <t xml:space="preserve">      Total</t>
  </si>
  <si>
    <t>0= NO GAS COSTS OR GROSS RECEIPTS</t>
  </si>
  <si>
    <t>Schedule D</t>
  </si>
  <si>
    <t>SUMMARY OF COST OF SERVICE BY SERVICE CLASSIFICATION</t>
  </si>
  <si>
    <t>Cost Function</t>
  </si>
  <si>
    <t>(Schedule E)</t>
  </si>
  <si>
    <t>Gas Costs</t>
  </si>
  <si>
    <t xml:space="preserve">         Total</t>
  </si>
  <si>
    <t>O&amp;M other than A&amp;G</t>
  </si>
  <si>
    <t xml:space="preserve">               Subtotal</t>
  </si>
  <si>
    <t>Number of bills</t>
  </si>
  <si>
    <t>UNDER PRESENT RATES</t>
  </si>
  <si>
    <t>Schedule C</t>
  </si>
  <si>
    <t>DEVELOPMENT OF RATE OF RETURN BY SERVICE CLASSIFICATION</t>
  </si>
  <si>
    <t>UNDER PROPOSED RATES</t>
  </si>
  <si>
    <t xml:space="preserve">Item </t>
  </si>
  <si>
    <t xml:space="preserve">       and Transportation</t>
  </si>
  <si>
    <t xml:space="preserve"> 2. Other Revenues</t>
  </si>
  <si>
    <t xml:space="preserve"> 3. Total Operating Revenues</t>
  </si>
  <si>
    <t xml:space="preserve"> 4. Less: Operating Expenses</t>
  </si>
  <si>
    <t xml:space="preserve"> 5. Return and Income Taxes</t>
  </si>
  <si>
    <t xml:space="preserve"> 6. Less: Interest Expense</t>
  </si>
  <si>
    <t xml:space="preserve"> 7. Taxable Income</t>
  </si>
  <si>
    <t xml:space="preserve"> 8. Less: Income Taxes</t>
  </si>
  <si>
    <t xml:space="preserve"> 9. Net Return (Ln 5 - Ln 8)</t>
  </si>
  <si>
    <t xml:space="preserve">10. Original Cost Measure </t>
  </si>
  <si>
    <t xml:space="preserve">       of Value (Factor 15.)</t>
  </si>
  <si>
    <t>11. Rate of Return, Percent</t>
  </si>
  <si>
    <t>12. Relative Rate of Return</t>
  </si>
  <si>
    <t>FACTOR FOR LINE 6</t>
  </si>
  <si>
    <t>FACTOR FOR LINE 8</t>
  </si>
  <si>
    <t>( $ in Thousands )</t>
  </si>
  <si>
    <t>Other Property on Customer Premises</t>
  </si>
  <si>
    <t>Other Tangible Property</t>
  </si>
  <si>
    <t>Customer Deposits</t>
  </si>
  <si>
    <t>OPERATION &amp; MAINTENANCE EXPENSE</t>
  </si>
  <si>
    <t>MANUFACTURED GAS PRODUCTION EXPENSES</t>
  </si>
  <si>
    <t>Total Gas Raw Materials Expenses</t>
  </si>
  <si>
    <t>725 - 736</t>
  </si>
  <si>
    <t>Manufactured Gas Production Expenses</t>
  </si>
  <si>
    <t>740 - 742</t>
  </si>
  <si>
    <t>Total Production Expense</t>
  </si>
  <si>
    <t>OTHER GAS SUPPLY EXPENSES</t>
  </si>
  <si>
    <t>Natural Gas City Gate Purchases</t>
  </si>
  <si>
    <t>Other Gas Purchases</t>
  </si>
  <si>
    <t>Purchases Gas Cost Adjustments</t>
  </si>
  <si>
    <t>Gas Withdrawn from Storage-Debit</t>
  </si>
  <si>
    <t>Gas Supply Operation Expenses</t>
  </si>
  <si>
    <t>DISTRIBUTION EXPENSES</t>
  </si>
  <si>
    <t>Operations Expense</t>
  </si>
  <si>
    <t>Operation Supervision and Engineering</t>
  </si>
  <si>
    <t>Distribution Load Dispatching</t>
  </si>
  <si>
    <t>Mains and Services Expenses</t>
  </si>
  <si>
    <t>Measuring and Regulating Station Expenses-General</t>
  </si>
  <si>
    <t>Measuring and Regulating Station Expenses-Industrial</t>
  </si>
  <si>
    <t>Measuring and Regulating Station Expenses-City Gate</t>
  </si>
  <si>
    <t>Meter and House Regulator Expenses</t>
  </si>
  <si>
    <t>Customer Installations Expenses</t>
  </si>
  <si>
    <t>Other Expenses</t>
  </si>
  <si>
    <t>Rents</t>
  </si>
  <si>
    <t>Total Distribution Operation Expenses</t>
  </si>
  <si>
    <t>Maintenance Expense</t>
  </si>
  <si>
    <t xml:space="preserve">Maintenance Supervision and Engineering </t>
  </si>
  <si>
    <t>Maintenance of Structures and Improvements</t>
  </si>
  <si>
    <t>Maintenance of Mains</t>
  </si>
  <si>
    <t>Maintenance of Measuring &amp; Reg. Station Equip.-Genl.</t>
  </si>
  <si>
    <t>Maintenance of Measuring &amp; Reg. Station Equip.-Indtrl.</t>
  </si>
  <si>
    <t>Maintenance of Measuring &amp; Reg. Station Equip.-City G</t>
  </si>
  <si>
    <t>Maintenance of Services</t>
  </si>
  <si>
    <t>Maintenance of Meters &amp; House Regulators</t>
  </si>
  <si>
    <t>Maintenance of Other Equipment</t>
  </si>
  <si>
    <t>Total Distribution Maintenance Expenses</t>
  </si>
  <si>
    <t>Total Distribution Expense</t>
  </si>
  <si>
    <t>CUSTOMER ACCOUNTS EXPENSES</t>
  </si>
  <si>
    <t>Meter Reading Expenses</t>
  </si>
  <si>
    <t>Customer Records &amp; Collection Expenses</t>
  </si>
  <si>
    <t>Miscellaneous Customer Accounts Expenses</t>
  </si>
  <si>
    <t>Customer Account Operations Expenses</t>
  </si>
  <si>
    <t>CUSTOMER SERVICE &amp; INFORM. EXPENSES</t>
  </si>
  <si>
    <t>Customer Assistance Expenses</t>
  </si>
  <si>
    <t>Miscellaneous Customer Service &amp; Informational Exp.</t>
  </si>
  <si>
    <t>Total Cust. Service &amp; Inform. Operations Exp</t>
  </si>
  <si>
    <t>Demonstrating and Selling Expenses</t>
  </si>
  <si>
    <t>Advertising Expenses</t>
  </si>
  <si>
    <t>Miscellaneous Sales Expenses</t>
  </si>
  <si>
    <t>Total Operation Sales Expenses</t>
  </si>
  <si>
    <t>ADMINISTRATIVE AND GENERAL EXPENSES</t>
  </si>
  <si>
    <t>Administrative and General Salaries</t>
  </si>
  <si>
    <t>Office Supplies and Expenses</t>
  </si>
  <si>
    <t>Outside Service Employed</t>
  </si>
  <si>
    <t>Property Insurance</t>
  </si>
  <si>
    <t>Injuries and Damages</t>
  </si>
  <si>
    <t xml:space="preserve">Employee Pensions and Benefits </t>
  </si>
  <si>
    <t>Regulatory Commission Expenses</t>
  </si>
  <si>
    <t>Miscellaneous General Expenses</t>
  </si>
  <si>
    <t>Miscellaneous Intercompany Charges</t>
  </si>
  <si>
    <t>Total A &amp; G Operation Expenses</t>
  </si>
  <si>
    <t>Maintenance of General Plant</t>
  </si>
  <si>
    <t>Total A &amp; G Expense</t>
  </si>
  <si>
    <t>Total Gas Operation and Maintenance Expenses</t>
  </si>
  <si>
    <t>740-742</t>
  </si>
  <si>
    <t>725-736</t>
  </si>
  <si>
    <t xml:space="preserve">Supervision And Engineering       </t>
  </si>
  <si>
    <t xml:space="preserve">Distribution Load Dispatching     </t>
  </si>
  <si>
    <t xml:space="preserve">Mains And Services Expenses       </t>
  </si>
  <si>
    <t xml:space="preserve">M &amp; R Station Expenses -General   </t>
  </si>
  <si>
    <t>M &amp; R Station Expenses - City Gate Station</t>
  </si>
  <si>
    <t>Meter And House Regulator Expenses</t>
  </si>
  <si>
    <t xml:space="preserve">Customer Installation Expenses    </t>
  </si>
  <si>
    <t xml:space="preserve">Other Expenses                    </t>
  </si>
  <si>
    <t xml:space="preserve">Structures &amp; Improvements         </t>
  </si>
  <si>
    <t xml:space="preserve">M &amp; R Equip - General             </t>
  </si>
  <si>
    <t>M &amp; R Equip - Ind</t>
  </si>
  <si>
    <t>M &amp; R Equip - CG Check Station</t>
  </si>
  <si>
    <t xml:space="preserve">Services                          </t>
  </si>
  <si>
    <t xml:space="preserve">Meters &amp; House Regulators         </t>
  </si>
  <si>
    <t xml:space="preserve">Meter Reading Expenses            </t>
  </si>
  <si>
    <t xml:space="preserve">Customer Records &amp; Coll Expenses  </t>
  </si>
  <si>
    <t xml:space="preserve">Customer Assistance Expenses      </t>
  </si>
  <si>
    <t>Demonstrating And Selling Expenses</t>
  </si>
  <si>
    <t xml:space="preserve">Administrative &amp; General Salaries </t>
  </si>
  <si>
    <t xml:space="preserve">Office Supplies And Expenses      </t>
  </si>
  <si>
    <t xml:space="preserve">Maintenance of General Plant      </t>
  </si>
  <si>
    <t>COMPARISON OF COST OF SERVICE WITH REVENUES UNDER PRESENT AND PROPOSED RATES</t>
  </si>
  <si>
    <t>Direct Customer Costs</t>
  </si>
  <si>
    <t xml:space="preserve">  Employee Pensions and Benefits    </t>
  </si>
  <si>
    <t>Factors are based on the weighting of the factors derived from average daily throughput volumes and</t>
  </si>
  <si>
    <t>Factors are based on the result of allocating the original cost measure of value,</t>
  </si>
  <si>
    <t>FACTOR 16.  ALLOCATION OF REGULATORY COMMISSION EXPENSES,</t>
  </si>
  <si>
    <t>ASSESSMENTS AND OTHER REVENUES.</t>
  </si>
  <si>
    <t>Factors are based on the allocation of total operation and maintenance direct labor</t>
  </si>
  <si>
    <t>Factors are based on the allocation of the original cost less depreciation excluding the</t>
  </si>
  <si>
    <t>items being allocated, as follows:</t>
  </si>
  <si>
    <t xml:space="preserve">     O &amp; M Expenses:</t>
  </si>
  <si>
    <t xml:space="preserve">      Rate Base</t>
  </si>
  <si>
    <t xml:space="preserve">     Taxes and Return</t>
  </si>
  <si>
    <t>@</t>
  </si>
  <si>
    <t>Total Direct Customer Costs</t>
  </si>
  <si>
    <t>Direct Costs per bill</t>
  </si>
  <si>
    <t xml:space="preserve">     Subtotal O &amp; M Expenses</t>
  </si>
  <si>
    <t xml:space="preserve">  Subtotal Depreciation</t>
  </si>
  <si>
    <t xml:space="preserve">      Subtotal Rate Base</t>
  </si>
  <si>
    <t>Fully Allocated Customer Costs</t>
  </si>
  <si>
    <t>Customer Cost per bill</t>
  </si>
  <si>
    <t xml:space="preserve"> 1. Revenues From Tariff Sales</t>
  </si>
  <si>
    <t>TOTAL COST OF SERVICE RELATED TO</t>
  </si>
  <si>
    <t xml:space="preserve">    TARIFF SALES AND TRANSPORTATION</t>
  </si>
  <si>
    <t>FACTOR 14.  ALLOCATION OF ORGANIZATION, FRANCHISES AND CONSENTS,</t>
  </si>
  <si>
    <t>MISCELLANEOUS INTANGIBLE PLANT AND OTHER RATE BASE ELEMENTS.</t>
  </si>
  <si>
    <t>DIRECT LABOR EXPENSE</t>
  </si>
  <si>
    <t>Depreciation Expense</t>
  </si>
  <si>
    <t>Mains</t>
  </si>
  <si>
    <t>Measuring &amp; Regulating Equipment - General</t>
  </si>
  <si>
    <t>Measuring &amp; Regulating Equipment - City Gate</t>
  </si>
  <si>
    <t>Services</t>
  </si>
  <si>
    <t>House Regulators</t>
  </si>
  <si>
    <t>House Regulator Installations</t>
  </si>
  <si>
    <t>Industrial Measuring &amp; Regulating Equipment</t>
  </si>
  <si>
    <t>Miscellaneous Equipment</t>
  </si>
  <si>
    <t>Total Plant</t>
  </si>
  <si>
    <t>Supervision</t>
  </si>
  <si>
    <t>Supervision - Engineering and Labor</t>
  </si>
  <si>
    <t>Other Equipment</t>
  </si>
  <si>
    <t>FACTORS FOR ALLOCATING COST OF SERVICE TO SERVICE CLASSIFICATIONS</t>
  </si>
  <si>
    <t>Service</t>
  </si>
  <si>
    <t>Classification</t>
  </si>
  <si>
    <t>(1)</t>
  </si>
  <si>
    <t>Volumetric</t>
  </si>
  <si>
    <t>Residential</t>
  </si>
  <si>
    <t xml:space="preserve">    Total</t>
  </si>
  <si>
    <t>SUMMARY OF PRO FORMA VOLUMES BY CLASSIFICATION</t>
  </si>
  <si>
    <t>Total</t>
  </si>
  <si>
    <t>Average</t>
  </si>
  <si>
    <t>Allocation</t>
  </si>
  <si>
    <t>(2)</t>
  </si>
  <si>
    <t>Pro Forma</t>
  </si>
  <si>
    <t>Volumes</t>
  </si>
  <si>
    <t>(Mcf)</t>
  </si>
  <si>
    <t>Weighted</t>
  </si>
  <si>
    <t>Factor</t>
  </si>
  <si>
    <t>FACTOR 1</t>
  </si>
  <si>
    <t>Maximum Day</t>
  </si>
  <si>
    <t>Extra Demand</t>
  </si>
  <si>
    <t>(4)</t>
  </si>
  <si>
    <t>Full</t>
  </si>
  <si>
    <t>Tariff</t>
  </si>
  <si>
    <t>Transport.</t>
  </si>
  <si>
    <t>(3)</t>
  </si>
  <si>
    <t>FACTOR 2&amp;3</t>
  </si>
  <si>
    <t>Throughput</t>
  </si>
  <si>
    <t>(6)</t>
  </si>
  <si>
    <t>Customer</t>
  </si>
  <si>
    <t>Average Daily</t>
  </si>
  <si>
    <t>Original</t>
  </si>
  <si>
    <t>(5)</t>
  </si>
  <si>
    <t>Number of</t>
  </si>
  <si>
    <t>Meters</t>
  </si>
  <si>
    <t>Factors are based on distribution operation expenses other than those being allocated.</t>
  </si>
  <si>
    <t>FACTOR 13.  ALLOCATION OF LABOR RELATED TAXES AND BENEFITS.</t>
  </si>
  <si>
    <t>Operation</t>
  </si>
  <si>
    <t>Expense</t>
  </si>
  <si>
    <t>Operation &amp;</t>
  </si>
  <si>
    <t>Maintenance</t>
  </si>
  <si>
    <t>Expenses</t>
  </si>
  <si>
    <t>Total Labor</t>
  </si>
  <si>
    <t>Cost Less</t>
  </si>
  <si>
    <t>Depreciation</t>
  </si>
  <si>
    <t>FACTOR 15.  ALLOCATION OF RETURN AND TAXES.</t>
  </si>
  <si>
    <t>Cost of</t>
  </si>
  <si>
    <t>CALCULATION OF CUSTOMER COSTS PER BILL BY SERVICE CLASSIFICATION</t>
  </si>
  <si>
    <t xml:space="preserve">   </t>
  </si>
  <si>
    <t xml:space="preserve">                                    </t>
  </si>
  <si>
    <t xml:space="preserve">Total Operation                     </t>
  </si>
  <si>
    <t xml:space="preserve">Total Maintenance                   </t>
  </si>
  <si>
    <t xml:space="preserve">Total Other Gas Supply Expenses     </t>
  </si>
  <si>
    <t xml:space="preserve">  Administrative &amp; General Salaries </t>
  </si>
  <si>
    <t xml:space="preserve">  Property Damage Insurance         </t>
  </si>
  <si>
    <t xml:space="preserve">  Regulatory Commission Expenses    </t>
  </si>
  <si>
    <t xml:space="preserve">  Miscellaneous General Expenses    </t>
  </si>
  <si>
    <t xml:space="preserve">Total Natural Gas Production Expenses </t>
  </si>
  <si>
    <t>NATURAL GAS PRODUCTION EXPENSES</t>
  </si>
  <si>
    <t>Other Gas Supply Expenses</t>
  </si>
  <si>
    <t xml:space="preserve">DISTRIBUTION EXPENSES                 </t>
  </si>
  <si>
    <t xml:space="preserve">Total Distribution Expenses           </t>
  </si>
  <si>
    <t>CUSTOMER ACCOUNTING EXPENSES</t>
  </si>
  <si>
    <t xml:space="preserve">Total Customer Accounting Expenses    </t>
  </si>
  <si>
    <t>CUSTOMER SERVICE AND INFORMATION EXPENSES</t>
  </si>
  <si>
    <t>Total Customer Service &amp; Info Expenses</t>
  </si>
  <si>
    <t>SALES EXPENSES</t>
  </si>
  <si>
    <t xml:space="preserve">Total Sales Expenses                  </t>
  </si>
  <si>
    <t xml:space="preserve">ADMINISTRATIVE AND GENERAL EXPENSES   </t>
  </si>
  <si>
    <t>OPERATION AND MAINTENANCE EXPENSES</t>
  </si>
  <si>
    <t>DISTRIBUTION PLANT</t>
  </si>
  <si>
    <t xml:space="preserve">Total Distribution Plant              </t>
  </si>
  <si>
    <t>GENERAL PLANT</t>
  </si>
  <si>
    <t xml:space="preserve">Total General Plant                   </t>
  </si>
  <si>
    <t xml:space="preserve">Total Taxes Other Than Income         </t>
  </si>
  <si>
    <t xml:space="preserve">Total Operating Expenses                </t>
  </si>
  <si>
    <t>Total Utility Plant in Service</t>
  </si>
  <si>
    <t xml:space="preserve">TAXES OTHER THAN INCOME TAXES     </t>
  </si>
  <si>
    <t>INCOME TAXES</t>
  </si>
  <si>
    <t>OPERATING INCOME AVAILABLE FOR RETURN</t>
  </si>
  <si>
    <t>TOTAL COST OF SERVICE</t>
  </si>
  <si>
    <t>Total Operation and Maintenance Expenses</t>
  </si>
  <si>
    <t xml:space="preserve"> </t>
  </si>
  <si>
    <t>Volumetric Costs</t>
  </si>
  <si>
    <t>Customer Costs</t>
  </si>
  <si>
    <t>OTHER RATE BASE ELEMENTS</t>
  </si>
  <si>
    <t>Factor 2</t>
  </si>
  <si>
    <t>Basis for #11</t>
  </si>
  <si>
    <t>Basis for #12</t>
  </si>
  <si>
    <t>Account</t>
  </si>
  <si>
    <t xml:space="preserve">Total Administrative &amp; General Expenses   </t>
  </si>
  <si>
    <t>Basis for #13</t>
  </si>
  <si>
    <t>Basis for #14</t>
  </si>
  <si>
    <t xml:space="preserve">                                     </t>
  </si>
  <si>
    <t xml:space="preserve">    Total Nondepreciable Plant       </t>
  </si>
  <si>
    <t xml:space="preserve">Materials &amp; Supplies            </t>
  </si>
  <si>
    <t xml:space="preserve">Gas Storage Inventory           </t>
  </si>
  <si>
    <t xml:space="preserve">Cash Working Capital            </t>
  </si>
  <si>
    <t xml:space="preserve">Deferred Taxes                  </t>
  </si>
  <si>
    <t xml:space="preserve">  Total Other Rate Base Elements</t>
  </si>
  <si>
    <t>Basis for #15</t>
  </si>
  <si>
    <t>Basis for #16</t>
  </si>
  <si>
    <t>Less: Other Revenues</t>
  </si>
  <si>
    <t>Basis for #17</t>
  </si>
  <si>
    <t>Ref.</t>
  </si>
  <si>
    <t>Include Production?</t>
  </si>
  <si>
    <t xml:space="preserve">  Maintenance of General Plant      </t>
  </si>
  <si>
    <t xml:space="preserve">  Injuries and Damages</t>
  </si>
  <si>
    <t xml:space="preserve">   Total Direct Labor Expense</t>
  </si>
  <si>
    <t>Factor 3</t>
  </si>
  <si>
    <t>Revised:</t>
  </si>
  <si>
    <t xml:space="preserve">  Miscellaneous Company Charges</t>
  </si>
  <si>
    <t xml:space="preserve">  Other</t>
  </si>
  <si>
    <t>M &amp; R Station Expenses - Industrial</t>
  </si>
  <si>
    <t xml:space="preserve">INTANGIBLE PLANT                 </t>
  </si>
  <si>
    <t>Rate TS</t>
  </si>
  <si>
    <t>Factors are based on the allocation of operation and maintenance expenses.</t>
  </si>
  <si>
    <t>LFD</t>
  </si>
  <si>
    <t>XD</t>
  </si>
  <si>
    <t>DS</t>
  </si>
  <si>
    <t xml:space="preserve">Structures And Improvements      </t>
  </si>
  <si>
    <t xml:space="preserve">Services                         </t>
  </si>
  <si>
    <t xml:space="preserve">Meters                           </t>
  </si>
  <si>
    <t xml:space="preserve">Meter Installations              </t>
  </si>
  <si>
    <t xml:space="preserve">Other Equipment                  </t>
  </si>
  <si>
    <t xml:space="preserve">Office Furniture And Equipment   </t>
  </si>
  <si>
    <t xml:space="preserve">Transportation Equipment         </t>
  </si>
  <si>
    <t xml:space="preserve">Tools, Shop And Garage Equipment </t>
  </si>
  <si>
    <t xml:space="preserve">Power Operated Equipment         </t>
  </si>
  <si>
    <t xml:space="preserve">Communication Equipment          </t>
  </si>
  <si>
    <t xml:space="preserve">Capital Stock                   </t>
  </si>
  <si>
    <t>Payroll Related Tax</t>
  </si>
  <si>
    <t xml:space="preserve">Public Utility Reality Tax      </t>
  </si>
  <si>
    <t>6A</t>
  </si>
  <si>
    <t xml:space="preserve">    Services</t>
  </si>
  <si>
    <t>RATE BASE</t>
  </si>
  <si>
    <t>Gas Delivered to Storage-Credit</t>
  </si>
  <si>
    <t>Factor 3A</t>
  </si>
  <si>
    <t>Factors are based on the maximum day extra demand throughput for each classification.</t>
  </si>
  <si>
    <t>M &amp; R Equip - Industrial</t>
  </si>
  <si>
    <t>M &amp; R Equip - City Gate</t>
  </si>
  <si>
    <t xml:space="preserve">Uncollectible Accounts            </t>
  </si>
  <si>
    <t xml:space="preserve">Miscellaneous Cust Accts Expenses </t>
  </si>
  <si>
    <t xml:space="preserve">Advertising Expenses              </t>
  </si>
  <si>
    <t>N</t>
  </si>
  <si>
    <t>Rate N</t>
  </si>
  <si>
    <t>Rate DS</t>
  </si>
  <si>
    <t>Rate LFD</t>
  </si>
  <si>
    <t>Rate XD</t>
  </si>
  <si>
    <t>Rate R</t>
  </si>
  <si>
    <t xml:space="preserve">   Rate R</t>
  </si>
  <si>
    <t xml:space="preserve">  Rate R</t>
  </si>
  <si>
    <t xml:space="preserve">  Rate N</t>
  </si>
  <si>
    <t xml:space="preserve">  Rate DS</t>
  </si>
  <si>
    <t xml:space="preserve">  Rate LFD</t>
  </si>
  <si>
    <r>
      <t>Mains And Services Expenses</t>
    </r>
    <r>
      <rPr>
        <sz val="10.45"/>
        <rFont val="Arial"/>
        <family val="2"/>
      </rPr>
      <t xml:space="preserve"> </t>
    </r>
  </si>
  <si>
    <t>Customers</t>
  </si>
  <si>
    <t>6B</t>
  </si>
  <si>
    <t xml:space="preserve">   Rate N</t>
  </si>
  <si>
    <t xml:space="preserve">   Rate DS</t>
  </si>
  <si>
    <t xml:space="preserve">   Rate LFD</t>
  </si>
  <si>
    <t>7A</t>
  </si>
  <si>
    <t>SALES</t>
  </si>
  <si>
    <t>THRU-MAX</t>
  </si>
  <si>
    <t>THRU-AVE</t>
  </si>
  <si>
    <t>THRU MAX-AVE</t>
  </si>
  <si>
    <t>5A</t>
  </si>
  <si>
    <t>MAINS</t>
  </si>
  <si>
    <t>METERS</t>
  </si>
  <si>
    <t>IND METERS</t>
  </si>
  <si>
    <t>BILLS</t>
  </si>
  <si>
    <t>SALES BILLS</t>
  </si>
  <si>
    <t>METER READ</t>
  </si>
  <si>
    <t>RATE R</t>
  </si>
  <si>
    <t>COMPOSITES</t>
  </si>
  <si>
    <t>RATE N</t>
  </si>
  <si>
    <t>RATE DS</t>
  </si>
  <si>
    <t>RATE LFD</t>
  </si>
  <si>
    <t>RATE XD</t>
  </si>
  <si>
    <t>Factor 5</t>
  </si>
  <si>
    <t>Payroll Taxes</t>
  </si>
  <si>
    <t>*</t>
  </si>
  <si>
    <t>* Customer cost portion of account.</t>
  </si>
  <si>
    <t>Deferred Taxes</t>
  </si>
  <si>
    <t>FACTOR 6A. ALLOCATION OF COSTS ASSOCIATED WITH HOUSE REGULATORS</t>
  </si>
  <si>
    <t>HOUSE REG</t>
  </si>
  <si>
    <t>(4)=(3)-(2)</t>
  </si>
  <si>
    <t xml:space="preserve">  Outside Services Employed - Other</t>
  </si>
  <si>
    <t>Cash Working Capital - Purchased Gas Related</t>
  </si>
  <si>
    <t>Factor 7</t>
  </si>
  <si>
    <t xml:space="preserve">     Total Customer Costs </t>
  </si>
  <si>
    <t xml:space="preserve">     Total Volumetric Costs</t>
  </si>
  <si>
    <t>Cust. Adv</t>
  </si>
  <si>
    <t>PRODUCTION AND GATHERING</t>
  </si>
  <si>
    <t>Total Production &amp; Gathering Operation Expenses</t>
  </si>
  <si>
    <t>Total Production &amp; Gathering Maintenance Expenses</t>
  </si>
  <si>
    <t>750 - 760</t>
  </si>
  <si>
    <t>761 - 769</t>
  </si>
  <si>
    <t>Total Natrual Gas Production Expenses</t>
  </si>
  <si>
    <t>Natural Gas Storage, Terminating &amp; Processing Expense</t>
  </si>
  <si>
    <t>Underground Storage Expense</t>
  </si>
  <si>
    <t>Transmission Expense</t>
  </si>
  <si>
    <t>Total Transmission Operation Expenses</t>
  </si>
  <si>
    <t>Total Transmission Maintenance Expenses</t>
  </si>
  <si>
    <t>Informational and Instructional Advertising</t>
  </si>
  <si>
    <t>Production and Gathering</t>
  </si>
  <si>
    <t xml:space="preserve">  Total Production Expenses</t>
  </si>
  <si>
    <t>Total Natural Gas Storage Expense</t>
  </si>
  <si>
    <t>TRANSMISSION EXPENSE</t>
  </si>
  <si>
    <t>850 - 860</t>
  </si>
  <si>
    <t>861 - 867</t>
  </si>
  <si>
    <t>Total Transmission Expense</t>
  </si>
  <si>
    <t>750-760</t>
  </si>
  <si>
    <t>Rent</t>
  </si>
  <si>
    <t>Land Rights of Way</t>
  </si>
  <si>
    <t>County and Municipal Taxes</t>
  </si>
  <si>
    <t>Public Utility Assessment</t>
  </si>
  <si>
    <t>DA</t>
  </si>
  <si>
    <t>Miscellaneous</t>
  </si>
  <si>
    <t>Extra</t>
  </si>
  <si>
    <t>Capacity</t>
  </si>
  <si>
    <t>FACTOR 5.  ALLOCATION OF COSTS ASSOCIATED WITH SMALL DISTRIBUTION MAINS.</t>
  </si>
  <si>
    <t xml:space="preserve">  Mains - Small</t>
  </si>
  <si>
    <t xml:space="preserve">  Mains - Large</t>
  </si>
  <si>
    <t>Mains - Small</t>
  </si>
  <si>
    <t>Mains - Large</t>
  </si>
  <si>
    <t xml:space="preserve">    Mains - Small</t>
  </si>
  <si>
    <t xml:space="preserve">    Mains - Large</t>
  </si>
  <si>
    <t xml:space="preserve">FACTOR 6C. ALLOCATION OF COSTS ASSOCIATED WITH SERVICES. </t>
  </si>
  <si>
    <t>6C</t>
  </si>
  <si>
    <t>Basis for #10</t>
  </si>
  <si>
    <t>FACTOR 10.  ALLOCATION OF DISTRIBUTION OPERATION OTHER EXPENSES AND RENT.</t>
  </si>
  <si>
    <t>FACTOR 11.  ALLOCATION OF DISTRIBUTION MAINTENANCE OTHER EXPENSES.</t>
  </si>
  <si>
    <t>Factors are based on distribution maintenance expenses other than those being allocated.</t>
  </si>
  <si>
    <t>FACTOR 9 (DA).  ALLOCATION OF CUSTOMER ASSISTANCE EXPENSES.</t>
  </si>
  <si>
    <t xml:space="preserve">      These costs are directly assigned to the Residential Classification.</t>
  </si>
  <si>
    <t>814-823</t>
  </si>
  <si>
    <t>824-826</t>
  </si>
  <si>
    <t>OTHER STORAGE EXPENSE</t>
  </si>
  <si>
    <t>OTHER STORAGE EXPENSES</t>
  </si>
  <si>
    <t>850-860</t>
  </si>
  <si>
    <t>861-867</t>
  </si>
  <si>
    <t>Compressor Station Fuel and Power (Major Only)</t>
  </si>
  <si>
    <t>Maintenance of Compressor Station Equipment</t>
  </si>
  <si>
    <t>Construction and Maintenance</t>
  </si>
  <si>
    <t>Miscellaneous Taxes</t>
  </si>
  <si>
    <t>O&amp;M</t>
  </si>
  <si>
    <t>Plant in Service</t>
  </si>
  <si>
    <t>Rate Base</t>
  </si>
  <si>
    <t>COS</t>
  </si>
  <si>
    <t>Source</t>
  </si>
  <si>
    <t>Difference</t>
  </si>
  <si>
    <t>Employee Benefits and Pensions</t>
  </si>
  <si>
    <t>Investment Tax Credit</t>
  </si>
  <si>
    <t>Measuring &amp; Regulating Equipment - SCADA</t>
  </si>
  <si>
    <t>Interruptible</t>
  </si>
  <si>
    <t xml:space="preserve">  Interruptible</t>
  </si>
  <si>
    <t>Peak Day</t>
  </si>
  <si>
    <t>2A</t>
  </si>
  <si>
    <t xml:space="preserve">   Rate IS/IL</t>
  </si>
  <si>
    <t>Pro Forma Margin Revenues,</t>
  </si>
  <si>
    <t>Daily Throughput</t>
  </si>
  <si>
    <t>Average Daily Throughput</t>
  </si>
  <si>
    <t>Daily PGC</t>
  </si>
  <si>
    <t>Reconnection Charges</t>
  </si>
  <si>
    <t>Other Miscellaneous Revenues</t>
  </si>
  <si>
    <t>Common</t>
  </si>
  <si>
    <t>IS</t>
  </si>
  <si>
    <t>DEPRECIATION AND AMORTIZATION EXPENSE</t>
  </si>
  <si>
    <t xml:space="preserve">Total Depreciation &amp; Amortization Expense              </t>
  </si>
  <si>
    <t>Factors are based on the pro forma average daily PGC sales volumes for each service</t>
  </si>
  <si>
    <t xml:space="preserve">  classification.</t>
  </si>
  <si>
    <t>Factors are based on the weighting of the factors derived from average daily throughput volumes</t>
  </si>
  <si>
    <t xml:space="preserve"> volumes and from maximum day extra capacity demand for each service classification, as follows:</t>
  </si>
  <si>
    <t>Factor 4</t>
  </si>
  <si>
    <t xml:space="preserve">  MAINS ALLOCATION.</t>
  </si>
  <si>
    <t>Factors are based on the maximum day extra demand throughput for each classification,</t>
  </si>
  <si>
    <t xml:space="preserve">  excluding XD and Interruptible classifications. </t>
  </si>
  <si>
    <t>and from maximum day extra capacity demand for each service classification, as follows:</t>
  </si>
  <si>
    <t>FACTOR 12.  ALLOCATION OF ADMINISTRATIVE AND GENERAL EXPENSES.</t>
  </si>
  <si>
    <t>Miscellaneous Customer Service Exp.</t>
  </si>
  <si>
    <t>Industrial M &amp; R Equipment</t>
  </si>
  <si>
    <t>Factors are based on the number of customers for each classification, as follows.</t>
  </si>
  <si>
    <t>Total Excluding Gas Costs</t>
  </si>
  <si>
    <t>expense to service classifications as shown on the following page.</t>
  </si>
  <si>
    <t>(4)=(3)x</t>
  </si>
  <si>
    <t>(6)=(5)x</t>
  </si>
  <si>
    <t>5B</t>
  </si>
  <si>
    <t>WITHOUT GAS COSTS</t>
  </si>
  <si>
    <t>from maximum day extra capacity demand for each service classification, as follows:</t>
  </si>
  <si>
    <t>4A</t>
  </si>
  <si>
    <t>THRU MAX-AVE - M&amp;R</t>
  </si>
  <si>
    <t>Rate XD Firm</t>
  </si>
  <si>
    <t>Rate XD-Firm</t>
  </si>
  <si>
    <t xml:space="preserve">   Rate XD Firm</t>
  </si>
  <si>
    <t>(7)=(4)+(6)</t>
  </si>
  <si>
    <t xml:space="preserve">  Mains - Direct Assign</t>
  </si>
  <si>
    <t>Mains - Direct Assign</t>
  </si>
  <si>
    <t>Basis for #18</t>
  </si>
  <si>
    <t>Total Production Labor and Expenses</t>
  </si>
  <si>
    <t>Total Gas Fuels Expenses</t>
  </si>
  <si>
    <t>Total Products Extraction Operation Expenses</t>
  </si>
  <si>
    <t>Total Products Extraction Maintenance Expenses</t>
  </si>
  <si>
    <t>770 - 783</t>
  </si>
  <si>
    <t>784 - 791</t>
  </si>
  <si>
    <t>Gas Used for Operations</t>
  </si>
  <si>
    <t>Natural Gas Transmission Line Purchases</t>
  </si>
  <si>
    <t>Liquefied Natural Gas Purchases</t>
  </si>
  <si>
    <t>Exchange Gas</t>
  </si>
  <si>
    <t>Purchased Gas Expenses</t>
  </si>
  <si>
    <t>800 - 803</t>
  </si>
  <si>
    <t>Total Production &amp; Gathering Operation Exps.</t>
  </si>
  <si>
    <t>Total Production &amp; Gathering Maintenance Exps.</t>
  </si>
  <si>
    <t>Total Products Extraction Maintenance Exps.</t>
  </si>
  <si>
    <t>Operating Supervision and Engineering</t>
  </si>
  <si>
    <t>Operation Labor and Expenses</t>
  </si>
  <si>
    <t>Other Operations Expense</t>
  </si>
  <si>
    <t>842 - 842.3</t>
  </si>
  <si>
    <t>Compressor Station Labor and Expenses</t>
  </si>
  <si>
    <t>STRUCTURES AND IMPROVEMENTS</t>
  </si>
  <si>
    <t>MAINS - PLASTIC</t>
  </si>
  <si>
    <t>HOUSE REGULATORS</t>
  </si>
  <si>
    <t>HOUSE REGULATOR INSTALLATIONS</t>
  </si>
  <si>
    <t>TOTAL DISTRIBUTION PLANT</t>
  </si>
  <si>
    <t>STRUCTURES AND IMPROVEMENTS - LEASED PROPERTY</t>
  </si>
  <si>
    <t>OFFICE FURNITURE AND EQUIPMENT - FURNITURE</t>
  </si>
  <si>
    <t>OFFICE FURNITURE AND EQUIPMENT - EQUIPMENT</t>
  </si>
  <si>
    <t>TRANSPORTATION EQUIPMENT - CARS</t>
  </si>
  <si>
    <t>TOOLS, SHOP AND GARAGE EQUIPMENT</t>
  </si>
  <si>
    <t>POWER OPERATED EQUIPMENT</t>
  </si>
  <si>
    <t>COMMUNICATION EQUIPMENT</t>
  </si>
  <si>
    <t>MISCELLANEOUS EQUIPMENT</t>
  </si>
  <si>
    <t>TOTAL GENERAL PLANT</t>
  </si>
  <si>
    <t>TOTAL DEPRECIABLE GAS PLANT</t>
  </si>
  <si>
    <t>NONDEPRECIABLE PLANT</t>
  </si>
  <si>
    <t>TOTAL NONDEPRECIABLE PLANT</t>
  </si>
  <si>
    <t>TOTAL GAS PLANT</t>
  </si>
  <si>
    <t>COMMON PLANT</t>
  </si>
  <si>
    <t>ORGANIZATION (NONDEPRECIABLE)</t>
  </si>
  <si>
    <t>TOTAL COMMON PLANT</t>
  </si>
  <si>
    <t>INFORMATION SERVICES (IS)</t>
  </si>
  <si>
    <t>TOTAL INFORMATION SERVICES</t>
  </si>
  <si>
    <t>TOTAL PLANT IN SERVICE</t>
  </si>
  <si>
    <t>GRAND TOTAL</t>
  </si>
  <si>
    <t>Total Expense</t>
  </si>
  <si>
    <t>Labor Amount</t>
  </si>
  <si>
    <t>Future Accruals</t>
  </si>
  <si>
    <t>Taxes Other Than Income</t>
  </si>
  <si>
    <t>PURTA Taxes</t>
  </si>
  <si>
    <t>Capital Stock</t>
  </si>
  <si>
    <t>PA &amp; Local Use taxes</t>
  </si>
  <si>
    <t>Social Security</t>
  </si>
  <si>
    <t>FUTA</t>
  </si>
  <si>
    <t>SUTA</t>
  </si>
  <si>
    <t>PUC Assessment</t>
  </si>
  <si>
    <t>Dollars in Thousands</t>
  </si>
  <si>
    <t xml:space="preserve">Total </t>
  </si>
  <si>
    <t>Dollars</t>
  </si>
  <si>
    <t>Manufactured Gas Plant Site Remediation</t>
  </si>
  <si>
    <t>Total Common Plant</t>
  </si>
  <si>
    <t>Office Furniture and Equipment</t>
  </si>
  <si>
    <t>Transportation Equipment</t>
  </si>
  <si>
    <t>Structures and Improvements</t>
  </si>
  <si>
    <t>Office Furniture and Equip. - New CIS Software</t>
  </si>
  <si>
    <t>Total Information Services</t>
  </si>
  <si>
    <t xml:space="preserve">Franchises And Consents       </t>
  </si>
  <si>
    <t>Land and Land Rights</t>
  </si>
  <si>
    <t xml:space="preserve">Land </t>
  </si>
  <si>
    <t xml:space="preserve">    Total Measure of Value      </t>
  </si>
  <si>
    <t>Manufactured Gas Plant Remediation</t>
  </si>
  <si>
    <t>Forfieted Discounts/Penalties</t>
  </si>
  <si>
    <t>Rent From Gas Property</t>
  </si>
  <si>
    <t>Miscellaneous Customer Service &amp; Info. Exp.</t>
  </si>
  <si>
    <t xml:space="preserve">  Office Supplies and Expenses      </t>
  </si>
  <si>
    <t>Include Gas Costs?</t>
  </si>
  <si>
    <t>yes=1, No =0</t>
  </si>
  <si>
    <t>Peak Day Dth</t>
  </si>
  <si>
    <t>Peak Day MCF</t>
  </si>
  <si>
    <t>Avg. Day Mcf</t>
  </si>
  <si>
    <t>Ratio</t>
  </si>
  <si>
    <t>Penalty Revenue</t>
  </si>
  <si>
    <t>Uncollectibles</t>
  </si>
  <si>
    <t>Penalty Revs.</t>
  </si>
  <si>
    <t>Less:</t>
  </si>
  <si>
    <t>Amount Charged to Clearing Accounts</t>
  </si>
  <si>
    <t xml:space="preserve">Present </t>
  </si>
  <si>
    <t>Proposed</t>
  </si>
  <si>
    <t>Present</t>
  </si>
  <si>
    <t>IL</t>
  </si>
  <si>
    <t>MUST USE SWITCH BELOW BEFORE PRINTING UNDER PRESENT OR PROPOSED!!!</t>
  </si>
  <si>
    <t>Present = 1, Proposed = 2</t>
  </si>
  <si>
    <t>= Total COS from model</t>
  </si>
  <si>
    <t>FACTORS 2 .  ALLOCATION OF COMPRESSOR STATION FUEL.</t>
  </si>
  <si>
    <t xml:space="preserve">   for each service classification.</t>
  </si>
  <si>
    <t>Under Proposed Rates</t>
  </si>
  <si>
    <t>Revenue Increase</t>
  </si>
  <si>
    <t>Rate XD - Firm</t>
  </si>
  <si>
    <t>&lt;&lt;Plus gas costs&gt;&gt;</t>
  </si>
  <si>
    <t>Total w/gas costs</t>
  </si>
  <si>
    <t>Average of</t>
  </si>
  <si>
    <t>Cost of Service Studies</t>
  </si>
  <si>
    <t>Factors are based on an analysis of penalty revenue, by class.</t>
  </si>
  <si>
    <t>Factors are based on the allocation of rate base for large and directly assigned mains.</t>
  </si>
  <si>
    <t>FACTOR 3B. CALCULATION OF MAXIMUM DAY EXTRA DEMAND FACTORS FOR SMALL</t>
  </si>
  <si>
    <t>Factor 3B</t>
  </si>
  <si>
    <t xml:space="preserve">      Subtotal</t>
  </si>
  <si>
    <t>Factors are based on history of net write-offs by class.</t>
  </si>
  <si>
    <t>RATE R, RATE N, RATE DS, RATE LFD, RATE XD, AND INTERRUPTIBLE SERVICE CLASSIFICATIONS</t>
  </si>
  <si>
    <t xml:space="preserve">Factors are based on the pro forma average daily throughput volumes </t>
  </si>
  <si>
    <t>Factor*</t>
  </si>
  <si>
    <t xml:space="preserve">    STATION EQUIPMENT.</t>
  </si>
  <si>
    <t>FACTOR 4A.  ALLOCATION OF COSTS ASSOCIATED WITH LOAD DISPATCHING AND M&amp;R</t>
  </si>
  <si>
    <t>M&amp;R Equipment</t>
  </si>
  <si>
    <t>Factors are based on the cost of services by class included in Account 380, Service Lines.</t>
  </si>
  <si>
    <t>FACTOR 8.  ALLOCATION OF COSTS ASSOCIATED WITH SALES EXPENSES.</t>
  </si>
  <si>
    <t>Factors are based on the number of Rate R and Rate N customers.</t>
  </si>
  <si>
    <t>Factors are based on the composite allocation of all mains.</t>
  </si>
  <si>
    <t xml:space="preserve">Office Furniture and Equipment   </t>
  </si>
  <si>
    <t xml:space="preserve">Structures and Improvements      </t>
  </si>
  <si>
    <t>Capital Costs</t>
  </si>
  <si>
    <t>Income Taxes</t>
  </si>
  <si>
    <t>Income Available for Return</t>
  </si>
  <si>
    <t xml:space="preserve">          Total</t>
  </si>
  <si>
    <t>Cost Per Month</t>
  </si>
  <si>
    <t>Demand Costs per MCF</t>
  </si>
  <si>
    <t>CALCULATION OF COSTS RELATED TO LFD AND XD DEMAND CHARGES</t>
  </si>
  <si>
    <t>Demand Volume Units per Month</t>
  </si>
  <si>
    <t>FACTOR 6B. ALLOCATION OF COSTS ASSOCIATED WITH INDUSTRIAL MEASURING</t>
  </si>
  <si>
    <t>Factors are based on the allocated cost of service excluding those items being allocated.</t>
  </si>
  <si>
    <t xml:space="preserve">  Rate XD Firm</t>
  </si>
  <si>
    <t xml:space="preserve">   Interruptible</t>
  </si>
  <si>
    <t>Compressor Station Fuel and Power</t>
  </si>
  <si>
    <t>Factor 1A</t>
  </si>
  <si>
    <t>PGC and</t>
  </si>
  <si>
    <t>Choice</t>
  </si>
  <si>
    <t>1A</t>
  </si>
  <si>
    <t>Factor 1</t>
  </si>
  <si>
    <t>UGI PENN NATURAL GAS, INC.</t>
  </si>
  <si>
    <t>Class COS- Historic test Year Ended September 30, 2018</t>
  </si>
  <si>
    <t>STORES EQUIPMENT</t>
  </si>
  <si>
    <t>ORGANIZATION</t>
  </si>
  <si>
    <t>LAND</t>
  </si>
  <si>
    <t>OFFICE FURNITURE AND EQUIPMENT - SYSTEM DEV. COSTS - 10 YEARS</t>
  </si>
  <si>
    <t>Organization</t>
  </si>
  <si>
    <t>2017-2018</t>
  </si>
  <si>
    <t>2017-2019</t>
  </si>
  <si>
    <t>BY SERVICE CLASSIFICATION FOR THE TWELVE MONTHS ENDED SEPTEMBER 30, 2018</t>
  </si>
  <si>
    <t>Uncollectible Accounts</t>
  </si>
  <si>
    <t>3-Yr. Average</t>
  </si>
  <si>
    <t>of Net Write-offs</t>
  </si>
  <si>
    <t>Storage</t>
  </si>
  <si>
    <t>Over/(Under)</t>
  </si>
  <si>
    <t>=</t>
  </si>
  <si>
    <t>&lt;&lt;Plus gas costs</t>
  </si>
  <si>
    <t>&lt;&lt;Plus PGC Revs.&gt;&gt;</t>
  </si>
  <si>
    <t>381 plus 385</t>
  </si>
  <si>
    <t>per Customer</t>
  </si>
  <si>
    <t>Regulators</t>
  </si>
  <si>
    <t>Universal Service Program</t>
  </si>
  <si>
    <t>Energy Efficiency and Conservation Programs</t>
  </si>
  <si>
    <t xml:space="preserve">Energy Efficiency and Conservation </t>
  </si>
  <si>
    <t xml:space="preserve">Employee Pensions and Benefits    </t>
  </si>
  <si>
    <t>MCF/Day</t>
  </si>
  <si>
    <t>FACTORS 1 and 1A.  ALLOCATION OF COSTS WHICH VARY DIRECTLY WITH PGC AND</t>
  </si>
  <si>
    <t xml:space="preserve">  CHOICE SALES.</t>
  </si>
  <si>
    <t>FACTORS 3 and 3A. CALCULATION OF MAXIMUM DAY EXTRA DEMAND FACTORS.</t>
  </si>
  <si>
    <t>as presented on the following pages.</t>
  </si>
  <si>
    <t>Average Cost</t>
  </si>
  <si>
    <t>of Accounts</t>
  </si>
  <si>
    <t>TABLE 1. ESTIMATED SURVIVOR CURVES, ORIGINAL COST, BOOK RESERVE AND</t>
  </si>
  <si>
    <t>CALCULATED ANNUAL DEPRECIATION ACCRUALS RELATED TO GAS PLANT AT SEPTEMBER 30, 2020</t>
  </si>
  <si>
    <t>PROBABLE</t>
  </si>
  <si>
    <t>FUTURE</t>
  </si>
  <si>
    <t>CALCULATED</t>
  </si>
  <si>
    <t>COMPOSITE</t>
  </si>
  <si>
    <t>RETIREMENT</t>
  </si>
  <si>
    <t>SURVIVOR</t>
  </si>
  <si>
    <t>BOOK</t>
  </si>
  <si>
    <t>ANNUAL ACCRUAL</t>
  </si>
  <si>
    <t>REMAINING</t>
  </si>
  <si>
    <t>ACCOUNT</t>
  </si>
  <si>
    <t>YEAR</t>
  </si>
  <si>
    <t>CURVE</t>
  </si>
  <si>
    <t>ORIGINAL COST</t>
  </si>
  <si>
    <t>RESERVE</t>
  </si>
  <si>
    <t>ACCRUALS</t>
  </si>
  <si>
    <t>RATE</t>
  </si>
  <si>
    <t>AMOUNT</t>
  </si>
  <si>
    <t>LIFE</t>
  </si>
  <si>
    <t>GAS PLANT</t>
  </si>
  <si>
    <t>PRODUCTION PLANT</t>
  </si>
  <si>
    <t>MANUFACTURED GAS PLANT SITE REMEDIATION</t>
  </si>
  <si>
    <t>PRODUCING LEASEHOLDS</t>
  </si>
  <si>
    <t xml:space="preserve">          </t>
  </si>
  <si>
    <t>-</t>
  </si>
  <si>
    <t>S0.5</t>
  </si>
  <si>
    <t>RIGHTS-OF-WAY</t>
  </si>
  <si>
    <t>R1</t>
  </si>
  <si>
    <t>FIELD MEASURING AND REGULATING STATION STRUCTURES</t>
  </si>
  <si>
    <t>FULLY ACCRUED</t>
  </si>
  <si>
    <t>OTHER STRUCTURES</t>
  </si>
  <si>
    <t>PRODUCING GAS WELLS - WELL CONSTRUCTION</t>
  </si>
  <si>
    <t>FULLY ACCRUED *</t>
  </si>
  <si>
    <t>PRODUCING GAS WELLS - WELL EQUIPMENT</t>
  </si>
  <si>
    <t>FIELD LINES</t>
  </si>
  <si>
    <t>L0</t>
  </si>
  <si>
    <t>FIELD MEASURING AND REGULATING STATION EQUIPMENT</t>
  </si>
  <si>
    <t>O3</t>
  </si>
  <si>
    <t>DRILLING AND CLEANING EQUIPMENT</t>
  </si>
  <si>
    <t>OTHER EQUIPMENT</t>
  </si>
  <si>
    <t>TOTAL PRODUCTION PLANT</t>
  </si>
  <si>
    <t>STORAGE PLANT</t>
  </si>
  <si>
    <t>WELL CONSTRUCTION</t>
  </si>
  <si>
    <t>TOTAL STORAGE PLANT</t>
  </si>
  <si>
    <t>TRANSMISSION PLANT</t>
  </si>
  <si>
    <t>R4</t>
  </si>
  <si>
    <t>R3</t>
  </si>
  <si>
    <t>MEASURING AND REGULATING STATION EQUIPMENT</t>
  </si>
  <si>
    <t>R2</t>
  </si>
  <si>
    <t>R0.5</t>
  </si>
  <si>
    <t>R2.5</t>
  </si>
  <si>
    <t>TESTING EQUIPMENT</t>
  </si>
  <si>
    <t>TOTAL TRANSMISSION PLANT</t>
  </si>
  <si>
    <t>MAINS - PRIMARILY STEEL</t>
  </si>
  <si>
    <t>MAINS - CAST IRON</t>
  </si>
  <si>
    <t>MAINS - PRIMARILY WROUGHT IRON</t>
  </si>
  <si>
    <t>MEASURING AND REGULATING STATION EQUIPMENT - GENERAL</t>
  </si>
  <si>
    <t>S0</t>
  </si>
  <si>
    <t>MEASURING AND REGULATING STATION EQUIPMENT - CITY GATE</t>
  </si>
  <si>
    <t>SERVICES</t>
  </si>
  <si>
    <t>S1</t>
  </si>
  <si>
    <t>METERS - ERTS</t>
  </si>
  <si>
    <t>S3</t>
  </si>
  <si>
    <t>METER INSTALLATIONS</t>
  </si>
  <si>
    <t>INDUSTRIAL MEASURING AND REGULATING STATION EQUIPMENT</t>
  </si>
  <si>
    <t>OTHER PROPERTY ON CUSTOMERS PREMISES</t>
  </si>
  <si>
    <t>OTHER PROPERTY ON CUSTOMERS PREMISES - FARM TAPS</t>
  </si>
  <si>
    <t>OTHER PROPERTY ON CUSTOMERS PREMISES - GAS LIGHTS</t>
  </si>
  <si>
    <t>OTHER PROPERTY ON CUSTOMER PREMISES - CNG REFUELING STATION</t>
  </si>
  <si>
    <t>OTHER EQUIPMENT - GRAPHIC DATA BASE</t>
  </si>
  <si>
    <t>SQ</t>
  </si>
  <si>
    <t>LANCASTER SERVICE BUILDING</t>
  </si>
  <si>
    <t>R1.5</t>
  </si>
  <si>
    <t>READING SERVICE BUILDING</t>
  </si>
  <si>
    <t>BETHLEHEM SERVICE BUILDING</t>
  </si>
  <si>
    <t>LEBANON SERVICE BUILDING</t>
  </si>
  <si>
    <t>STONE RIDGE SERVICE BUILDING</t>
  </si>
  <si>
    <t>GAS TRAINING CENTER</t>
  </si>
  <si>
    <t>EMPIRE YARD - MAJOR STRUCTURES</t>
  </si>
  <si>
    <t>EMPIRE YARD - MINOR STRUCTURES</t>
  </si>
  <si>
    <t>ARCHBALD</t>
  </si>
  <si>
    <t>BLOOMSBURG</t>
  </si>
  <si>
    <t>STROUDSBURG DISTRICT OFFICE</t>
  </si>
  <si>
    <t>PORT ALLEGANY OPERATIONS CENTER</t>
  </si>
  <si>
    <t>POTTSVILLE METER SHOP</t>
  </si>
  <si>
    <t>LEHIGHTON OPERATIONS CENTER</t>
  </si>
  <si>
    <t>TOTAL ACCOUNT 390.1</t>
  </si>
  <si>
    <t>ALLENTOWN UNITE BUILDING</t>
  </si>
  <si>
    <t>SQUARE</t>
  </si>
  <si>
    <t>WYOMISSING UNITE BUILDING</t>
  </si>
  <si>
    <t>TOTAL ACCOUNT 390.2</t>
  </si>
  <si>
    <t>OFFICE FURNITURE AND EQUIPMENT - COMPUTER EQUIPMENT</t>
  </si>
  <si>
    <t>OFFICE FURNITURE AND EQUIPMENT - SOFTWARE</t>
  </si>
  <si>
    <t>TRANSPORTATION EQUIPMENT - SEDANS AND SUV'S</t>
  </si>
  <si>
    <t>L2.5</t>
  </si>
  <si>
    <t>TRANSPORTATION EQUIPMENT - SMALL PICK-UPS AND CARGO VANS</t>
  </si>
  <si>
    <t>TRANSPORTATION EQUIPMENT - LARGE PICK-UPS AND UTILITY VEHICLES</t>
  </si>
  <si>
    <t>L3</t>
  </si>
  <si>
    <t>TRANSPORTATION EQUIPMENT - LARGE TRUCKS AND DUMP TRUCKS</t>
  </si>
  <si>
    <t>TRANSPORTATION EQUIPMENT - TRAILERS</t>
  </si>
  <si>
    <t>L2</t>
  </si>
  <si>
    <t>LABORATORY EQUIPMENT</t>
  </si>
  <si>
    <t>OTHER TANGIBLE PROPERTY</t>
  </si>
  <si>
    <t>FRANCHISES AND CONSENTS</t>
  </si>
  <si>
    <t>MISCELLANEOUS INTANGIBLE PLANT</t>
  </si>
  <si>
    <t>LAND AND LAND RIGHTS - LAND</t>
  </si>
  <si>
    <t>LAND AND LAND RIGHTS - LAND RIGHTS</t>
  </si>
  <si>
    <t>PRODUCING LANDS</t>
  </si>
  <si>
    <t>OTHER LAND</t>
  </si>
  <si>
    <t>OTHER UTILITY PLANT</t>
  </si>
  <si>
    <t>LAND AND LAND RIGHTS - LAND (NONDEPRECIABLE)</t>
  </si>
  <si>
    <t>OFFICE FURNITURE &amp; EQUIPMENT - SYSTEM DEV. COSTS - 15 YEARS</t>
  </si>
  <si>
    <t>READING SERVICE CENTER</t>
  </si>
  <si>
    <t>LESS READING SERVICE CENTER ALLOCATED TO ELECTRIC DIVISION - 9.88%</t>
  </si>
  <si>
    <t>AMORTIZATION OF NEGATIVE NET SALVAGE</t>
  </si>
  <si>
    <t>* ACCOUNTS 305, 330, 331 AND 352.01 HAVE NO REMAINING DEPRECIATION ACCRUALS.  THE FUTURE ACCRUALS SHOWN ARE RELATED TO THE AMORTIZATION OF NEGATIVE NET SALVAGE.</t>
  </si>
  <si>
    <t>Manufactured Gas Plant Site Remdiation</t>
  </si>
  <si>
    <t>Rights-Of-Way</t>
  </si>
  <si>
    <t>Field Measuring and Regulating Station Equipment</t>
  </si>
  <si>
    <t>Other Structures</t>
  </si>
  <si>
    <t>Producing Gas Wells - Well Construction</t>
  </si>
  <si>
    <t>Producint Gas Wells - Well Equipment</t>
  </si>
  <si>
    <t>Field Lines</t>
  </si>
  <si>
    <t>Drilling and Cleaning Equipment</t>
  </si>
  <si>
    <t>Well Construction</t>
  </si>
  <si>
    <t>Production Leaseholds</t>
  </si>
  <si>
    <t>Measuring and Regulating Staion Equipment</t>
  </si>
  <si>
    <t>Communication Equipment</t>
  </si>
  <si>
    <t>Testing Equipment</t>
  </si>
  <si>
    <t>Total Production Plant</t>
  </si>
  <si>
    <t>Total Transmission Plant</t>
  </si>
  <si>
    <t>FACTOR 4.  ALLOCATION OF COSTS ASSOCIATED WITH TRANSMISSION AND LARGE DISTRIBUTION MAINS.</t>
  </si>
  <si>
    <t>Stores Equipment</t>
  </si>
  <si>
    <t>Laboratory Equipment</t>
  </si>
  <si>
    <t>Office Furniture and Equip. - System Development Costs</t>
  </si>
  <si>
    <t>COMMON PLANT ALLOCATED @ 91.24%</t>
  </si>
  <si>
    <t>INFORMATION SERVICES (IS) ALLOCATED @ 91.72%</t>
  </si>
  <si>
    <t>Rights of Way</t>
  </si>
  <si>
    <t>Land</t>
  </si>
  <si>
    <t>Miscellaneous Intangible Plant</t>
  </si>
  <si>
    <t>Producing Lands</t>
  </si>
  <si>
    <t>Other Lands</t>
  </si>
  <si>
    <t>Office Furniture and Equip. - CIS</t>
  </si>
  <si>
    <t>NET SALVAGE</t>
  </si>
  <si>
    <t>TOTAL</t>
  </si>
  <si>
    <t>SAP CIS</t>
  </si>
  <si>
    <t>Accum Deprec</t>
  </si>
  <si>
    <t>All Gas</t>
  </si>
  <si>
    <t>RESERVED</t>
  </si>
  <si>
    <t>Administrative Expenses Transferred-Credit</t>
  </si>
  <si>
    <t>Franchise Requirements</t>
  </si>
  <si>
    <t>Duplicate Charges-Credit</t>
  </si>
  <si>
    <t>TRANSPORTATION EQUIPMENT - CAPITAL LEASES</t>
  </si>
  <si>
    <t>OFFICE FURNITURE AND EQUIPMENT - SYSTEM DEV. COSTS - 5 YEARS</t>
  </si>
  <si>
    <t>Schedule D-21</t>
  </si>
  <si>
    <t>Exhibit A</t>
  </si>
  <si>
    <t>XD - Firm</t>
  </si>
  <si>
    <t>PGC Sales</t>
  </si>
  <si>
    <t>MCF</t>
  </si>
  <si>
    <t>UGI UTILITIES, INC. - GAS DIVISION (COMBINED)</t>
  </si>
  <si>
    <t>TOTAL COMMON PLANT ALLOCATED TO GAS DIVISION (COMBINED) - 91.24%</t>
  </si>
  <si>
    <t>TOTAL INFORMATION SERVICES ALLOCATED TO GAS DIVISION (COMBINED) - 91.72%</t>
  </si>
  <si>
    <t>TOTAL OTHER UTILITY PLANT ALLOCATED TO GAS DIVISION (COMBINED)</t>
  </si>
  <si>
    <t>UGI UTILTIES, INC. - GAS DIVISION (COMBINED)</t>
  </si>
  <si>
    <t>UGI UTILITIES INC. - GAS DIVISION (COMBINED)</t>
  </si>
  <si>
    <t>&lt;&lt; Charged to clearing accounts</t>
  </si>
  <si>
    <t>COST OF SERVICE AS OF SEPTEMBER 30, 2020, AT PROPOSED REVENUE LEVEL ALLOCATED TO</t>
  </si>
  <si>
    <t>Other Equipment - Graphic Data Base</t>
  </si>
  <si>
    <t xml:space="preserve">   AND REGULATING EQUIPMENT.</t>
  </si>
  <si>
    <t>Factors are based on the number of weighted house regulators for customers served.</t>
  </si>
  <si>
    <t>Factors are based on the cost of meters by class included in Accounts 381 and 385, Meters and M&amp;R Equipment.</t>
  </si>
  <si>
    <t>FACTOR 6. ALLOCATION OF COSTS ASSOCIATED WITH ACCOUNTS 381 and 385.</t>
  </si>
  <si>
    <t>Cost of Meters</t>
  </si>
  <si>
    <t>and M&amp;R Equip.</t>
  </si>
  <si>
    <t xml:space="preserve">  Duplicate Charges-Credit</t>
  </si>
  <si>
    <t xml:space="preserve">  Franchise Requirements</t>
  </si>
  <si>
    <t xml:space="preserve">  Administrative Expenses Transferred-Credit</t>
  </si>
  <si>
    <t>W/O XD &amp; XD-I&gt;&gt;&gt;</t>
  </si>
  <si>
    <t xml:space="preserve">* The weighting of the factors is based on the percentage of average daily throughput excluding XD of </t>
  </si>
  <si>
    <t>mcf</t>
  </si>
  <si>
    <t>mcf excluding XD</t>
  </si>
  <si>
    <t>/</t>
  </si>
  <si>
    <t>BY SERVICE CLASSIFICATION FOR THE TWELVE MONTHS ENDED SEPTEMBER 30, 2020</t>
  </si>
  <si>
    <t xml:space="preserve">           divided by peak day demand of</t>
  </si>
  <si>
    <t>Interruptible**</t>
  </si>
  <si>
    <t>** Excludes XD-I volumes for customers who are 100% interruptible.</t>
  </si>
  <si>
    <t>Cost of Meters &amp;</t>
  </si>
  <si>
    <t>Factors are based on the cost of Meters and M&amp;R equipment by class included in Accounts 381 and 385.</t>
  </si>
  <si>
    <t>Service Lines</t>
  </si>
  <si>
    <t>Reading Service Center Alloc. to Electric Div. @ 9.88%</t>
  </si>
  <si>
    <t>FACTOR 7.  ALLOCATION OF COSTS ASSOCIATED WITH CUSTOMER ACCOUNTING</t>
  </si>
  <si>
    <t xml:space="preserve">  AND METER READING.</t>
  </si>
  <si>
    <t>FACTOR 17.  ALLOCATION OF OPERATION AND MAINTENANCE EXPENSES</t>
  </si>
  <si>
    <t xml:space="preserve">   ASSOCIATED WITH LARGE MAINS.</t>
  </si>
  <si>
    <t xml:space="preserve">    EQUIPMENT.</t>
  </si>
  <si>
    <t>FACTOR 18.  ALLOCATION OF RATE BASE ASSOCIATED WITH M&amp;R STATION</t>
  </si>
  <si>
    <t>FACTOR 19.  ALLOCATION OF UNCOLLECTIBLE ACCOUNTS.</t>
  </si>
  <si>
    <t>FACTOR 20.  ALLOCATION OF PENALTY REVENUE.</t>
  </si>
  <si>
    <t>Schedule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</si>
</sst>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[$$-409]#,##0"/>
    <numFmt numFmtId="167" formatCode="&quot;$&quot;#,##0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%"/>
    <numFmt numFmtId="174" formatCode="_(* #,##0.0000_);_(* \(#,##0.0000\);_(* &quot;-&quot;_);_(@_)"/>
    <numFmt numFmtId="175" formatCode="0_);\(0\)"/>
    <numFmt numFmtId="176" formatCode="_(&quot;$&quot;* #,##0_);_(&quot;$&quot;* \(#,##0\);_(&quot;$&quot;* &quot;-&quot;??_);_(@_)"/>
    <numFmt numFmtId="177" formatCode="&quot;$&quot;#,##0.0000_);[Red]\(&quot;$&quot;#,##0.0000\)"/>
    <numFmt numFmtId="178" formatCode="_(* #,##0.00000_);_(* \(#,##0.00000\);_(* &quot;-&quot;??_);_(@_)"/>
    <numFmt numFmtId="179" formatCode="_(* #,##0.0000_);_(* \(#,##0.0000\);_(* &quot;-&quot;??_);_(@_)"/>
    <numFmt numFmtId="180" formatCode="#.00\ \ \ \ \ \ \ \ \ "/>
    <numFmt numFmtId="181" formatCode="#.0\ \ \ \ \ \ \ \ "/>
    <numFmt numFmtId="182" formatCode="mm\-yyyy"/>
    <numFmt numFmtId="183" formatCode="0.00_);\(0.00\)"/>
    <numFmt numFmtId="184" formatCode="#.0\ \ \ \ \ "/>
    <numFmt numFmtId="185" formatCode="0.0000%"/>
    <numFmt numFmtId="186" formatCode="[$-409]h:mm\ AM/PM;@"/>
  </numFmts>
  <fonts count="64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 MT"/>
    </font>
    <font>
      <b/>
      <sz val="10.45"/>
      <color indexed="10"/>
      <name val="Arial"/>
      <family val="2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Arial"/>
      <family val="2"/>
    </font>
    <font>
      <b/>
      <sz val="12"/>
      <name val="SWISS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.45"/>
      <name val="Arial"/>
      <family val="2"/>
    </font>
    <font>
      <sz val="12"/>
      <name val="Arial"/>
      <family val="2"/>
    </font>
    <font>
      <sz val="10.45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u val="double"/>
      <sz val="11"/>
      <name val="Arial"/>
      <family val="2"/>
    </font>
    <font>
      <u val="double"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2"/>
      <color rgb="FFFF0000"/>
      <name val="SWISS"/>
    </font>
    <font>
      <b/>
      <sz val="12"/>
      <color rgb="FFFF0000"/>
      <name val="SWISS"/>
    </font>
    <font>
      <b/>
      <u/>
      <sz val="12"/>
      <color rgb="FFFF0000"/>
      <name val="Arial"/>
      <family val="2"/>
    </font>
    <font>
      <b/>
      <u/>
      <sz val="12"/>
      <color rgb="FFFF0000"/>
      <name val="SWISS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8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37" fontId="27" fillId="0" borderId="0"/>
    <xf numFmtId="37" fontId="28" fillId="0" borderId="0"/>
    <xf numFmtId="0" fontId="14" fillId="0" borderId="0"/>
    <xf numFmtId="0" fontId="3" fillId="0" borderId="0"/>
    <xf numFmtId="40" fontId="24" fillId="2" borderId="0">
      <alignment horizontal="right"/>
    </xf>
    <xf numFmtId="0" fontId="26" fillId="2" borderId="0">
      <alignment horizontal="right"/>
    </xf>
    <xf numFmtId="0" fontId="23" fillId="2" borderId="1"/>
    <xf numFmtId="0" fontId="23" fillId="0" borderId="0" applyBorder="0">
      <alignment horizontal="centerContinuous"/>
    </xf>
    <xf numFmtId="0" fontId="25" fillId="0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3" fontId="3" fillId="0" borderId="0"/>
    <xf numFmtId="41" fontId="62" fillId="0" borderId="0" applyFont="0" applyFill="0" applyBorder="0" applyAlignment="0" applyProtection="0"/>
  </cellStyleXfs>
  <cellXfs count="1049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Continuous" vertical="top" wrapText="1"/>
    </xf>
    <xf numFmtId="0" fontId="4" fillId="0" borderId="0" xfId="0" applyNumberFormat="1" applyFont="1" applyAlignment="1">
      <alignment horizontal="centerContinuous" vertical="top" wrapText="1"/>
    </xf>
    <xf numFmtId="0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"/>
    </xf>
    <xf numFmtId="0" fontId="5" fillId="0" borderId="0" xfId="0" applyNumberFormat="1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0" fillId="0" borderId="0" xfId="0" applyNumberFormat="1"/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2" fillId="0" borderId="0" xfId="0" applyNumberFormat="1" applyFont="1" applyAlignment="1"/>
    <xf numFmtId="3" fontId="8" fillId="0" borderId="0" xfId="0" applyNumberFormat="1" applyFont="1" applyAlignment="1"/>
    <xf numFmtId="3" fontId="0" fillId="0" borderId="0" xfId="0" applyNumberFormat="1"/>
    <xf numFmtId="0" fontId="6" fillId="3" borderId="0" xfId="0" applyNumberFormat="1" applyFont="1" applyFill="1" applyAlignment="1"/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/>
    <xf numFmtId="41" fontId="1" fillId="0" borderId="0" xfId="0" applyNumberFormat="1" applyFont="1" applyAlignment="1"/>
    <xf numFmtId="41" fontId="3" fillId="0" borderId="0" xfId="0" applyNumberFormat="1" applyFont="1" applyAlignment="1"/>
    <xf numFmtId="0" fontId="11" fillId="0" borderId="0" xfId="0" applyFont="1"/>
    <xf numFmtId="41" fontId="0" fillId="0" borderId="0" xfId="0" applyNumberFormat="1"/>
    <xf numFmtId="0" fontId="0" fillId="0" borderId="0" xfId="0" applyBorder="1"/>
    <xf numFmtId="41" fontId="0" fillId="0" borderId="0" xfId="0" applyNumberFormat="1" applyBorder="1"/>
    <xf numFmtId="41" fontId="0" fillId="0" borderId="4" xfId="0" applyNumberFormat="1" applyBorder="1"/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1" fontId="11" fillId="0" borderId="4" xfId="0" applyNumberFormat="1" applyFont="1" applyBorder="1"/>
    <xf numFmtId="0" fontId="11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2" fontId="11" fillId="0" borderId="4" xfId="0" applyNumberFormat="1" applyFont="1" applyBorder="1"/>
    <xf numFmtId="42" fontId="11" fillId="0" borderId="0" xfId="0" applyNumberFormat="1" applyFont="1"/>
    <xf numFmtId="0" fontId="11" fillId="0" borderId="0" xfId="0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13" fillId="0" borderId="0" xfId="0" applyFont="1"/>
    <xf numFmtId="41" fontId="11" fillId="0" borderId="0" xfId="0" applyNumberFormat="1" applyFont="1" applyBorder="1"/>
    <xf numFmtId="2" fontId="3" fillId="0" borderId="0" xfId="0" applyNumberFormat="1" applyFont="1" applyAlignment="1"/>
    <xf numFmtId="166" fontId="3" fillId="0" borderId="0" xfId="0" applyNumberFormat="1" applyFont="1" applyAlignment="1"/>
    <xf numFmtId="3" fontId="15" fillId="0" borderId="0" xfId="0" applyNumberFormat="1" applyFont="1" applyAlignment="1"/>
    <xf numFmtId="15" fontId="3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 applyProtection="1">
      <alignment horizontal="centerContinuous"/>
      <protection locked="0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/>
    <xf numFmtId="173" fontId="1" fillId="0" borderId="0" xfId="0" applyNumberFormat="1" applyFont="1" applyAlignment="1"/>
    <xf numFmtId="3" fontId="1" fillId="0" borderId="3" xfId="0" applyNumberFormat="1" applyFont="1" applyBorder="1" applyAlignment="1"/>
    <xf numFmtId="172" fontId="15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166" fontId="1" fillId="0" borderId="2" xfId="0" applyNumberFormat="1" applyFont="1" applyBorder="1" applyAlignment="1"/>
    <xf numFmtId="169" fontId="1" fillId="0" borderId="0" xfId="0" applyNumberFormat="1" applyFont="1" applyAlignment="1"/>
    <xf numFmtId="1" fontId="1" fillId="0" borderId="0" xfId="0" applyNumberFormat="1" applyFont="1" applyAlignment="1"/>
    <xf numFmtId="172" fontId="3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10" fontId="1" fillId="0" borderId="0" xfId="0" applyNumberFormat="1" applyFont="1" applyAlignment="1"/>
    <xf numFmtId="2" fontId="1" fillId="0" borderId="0" xfId="0" applyNumberFormat="1" applyFont="1" applyAlignment="1"/>
    <xf numFmtId="172" fontId="1" fillId="0" borderId="0" xfId="0" applyNumberFormat="1" applyFont="1" applyAlignment="1" applyProtection="1">
      <protection locked="0"/>
    </xf>
    <xf numFmtId="172" fontId="1" fillId="0" borderId="0" xfId="0" applyNumberFormat="1" applyFont="1" applyAlignment="1"/>
    <xf numFmtId="172" fontId="3" fillId="0" borderId="0" xfId="0" applyNumberFormat="1" applyFont="1" applyAlignment="1" applyProtection="1">
      <protection locked="0"/>
    </xf>
    <xf numFmtId="3" fontId="11" fillId="0" borderId="0" xfId="0" applyNumberFormat="1" applyFont="1" applyAlignment="1"/>
    <xf numFmtId="37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/>
    <xf numFmtId="42" fontId="1" fillId="0" borderId="0" xfId="0" applyNumberFormat="1" applyFont="1" applyAlignment="1"/>
    <xf numFmtId="41" fontId="1" fillId="0" borderId="0" xfId="0" applyNumberFormat="1" applyFont="1" applyAlignment="1" applyProtection="1">
      <protection locked="0"/>
    </xf>
    <xf numFmtId="3" fontId="18" fillId="0" borderId="0" xfId="0" applyNumberFormat="1" applyFont="1" applyAlignment="1"/>
    <xf numFmtId="0" fontId="1" fillId="0" borderId="0" xfId="0" applyFont="1"/>
    <xf numFmtId="0" fontId="1" fillId="0" borderId="0" xfId="0" applyFont="1" applyFill="1" applyBorder="1"/>
    <xf numFmtId="0" fontId="17" fillId="0" borderId="0" xfId="0" applyFont="1"/>
    <xf numFmtId="0" fontId="1" fillId="0" borderId="0" xfId="0" applyFont="1" applyFill="1" applyBorder="1" applyAlignment="1">
      <alignment horizontal="right"/>
    </xf>
    <xf numFmtId="44" fontId="11" fillId="0" borderId="0" xfId="0" applyNumberFormat="1" applyFont="1" applyAlignment="1"/>
    <xf numFmtId="3" fontId="19" fillId="0" borderId="0" xfId="0" applyNumberFormat="1" applyFont="1" applyAlignment="1"/>
    <xf numFmtId="3" fontId="12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Continuous"/>
    </xf>
    <xf numFmtId="0" fontId="22" fillId="0" borderId="0" xfId="0" applyFont="1"/>
    <xf numFmtId="0" fontId="13" fillId="0" borderId="0" xfId="0" applyFont="1" applyBorder="1"/>
    <xf numFmtId="171" fontId="0" fillId="0" borderId="0" xfId="1" applyNumberFormat="1" applyFont="1"/>
    <xf numFmtId="0" fontId="29" fillId="0" borderId="0" xfId="0" applyFont="1" applyFill="1"/>
    <xf numFmtId="37" fontId="29" fillId="0" borderId="0" xfId="5" applyNumberFormat="1" applyFont="1" applyFill="1" applyProtection="1"/>
    <xf numFmtId="37" fontId="30" fillId="0" borderId="0" xfId="5" applyFont="1" applyFill="1" applyProtection="1"/>
    <xf numFmtId="0" fontId="0" fillId="0" borderId="0" xfId="0" applyFill="1"/>
    <xf numFmtId="37" fontId="28" fillId="0" borderId="0" xfId="5" applyFont="1" applyFill="1" applyProtection="1"/>
    <xf numFmtId="37" fontId="28" fillId="0" borderId="0" xfId="5"/>
    <xf numFmtId="0" fontId="29" fillId="0" borderId="0" xfId="0" applyFont="1"/>
    <xf numFmtId="37" fontId="11" fillId="0" borderId="0" xfId="5" applyNumberFormat="1" applyFont="1" applyFill="1" applyAlignment="1" applyProtection="1">
      <alignment horizontal="centerContinuous"/>
    </xf>
    <xf numFmtId="37" fontId="29" fillId="0" borderId="0" xfId="5" applyNumberFormat="1" applyFont="1" applyFill="1" applyAlignment="1" applyProtection="1">
      <alignment horizontal="center"/>
    </xf>
    <xf numFmtId="37" fontId="29" fillId="0" borderId="0" xfId="5" applyFont="1" applyFill="1" applyProtection="1"/>
    <xf numFmtId="37" fontId="28" fillId="0" borderId="0" xfId="5" applyFont="1" applyFill="1" applyAlignment="1">
      <alignment horizontal="center"/>
    </xf>
    <xf numFmtId="37" fontId="0" fillId="0" borderId="0" xfId="0" applyNumberForma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37" fontId="29" fillId="0" borderId="0" xfId="5" applyFont="1" applyFill="1" applyBorder="1" applyProtection="1"/>
    <xf numFmtId="37" fontId="29" fillId="0" borderId="0" xfId="5" applyNumberFormat="1" applyFont="1" applyFill="1" applyBorder="1" applyProtection="1"/>
    <xf numFmtId="37" fontId="28" fillId="0" borderId="0" xfId="5" applyFill="1" applyBorder="1"/>
    <xf numFmtId="37" fontId="29" fillId="0" borderId="0" xfId="4" applyNumberFormat="1" applyFont="1" applyFill="1" applyBorder="1" applyProtection="1"/>
    <xf numFmtId="37" fontId="28" fillId="0" borderId="0" xfId="5" applyFont="1" applyFill="1" applyBorder="1"/>
    <xf numFmtId="37" fontId="32" fillId="0" borderId="0" xfId="5" applyNumberFormat="1" applyFont="1" applyFill="1" applyBorder="1" applyProtection="1"/>
    <xf numFmtId="37" fontId="29" fillId="0" borderId="0" xfId="5" applyFont="1" applyFill="1" applyAlignment="1" applyProtection="1">
      <alignment horizontal="centerContinuous"/>
    </xf>
    <xf numFmtId="0" fontId="0" fillId="4" borderId="0" xfId="0" applyFill="1"/>
    <xf numFmtId="37" fontId="29" fillId="0" borderId="0" xfId="5" applyNumberFormat="1" applyFont="1" applyFill="1" applyBorder="1" applyProtection="1">
      <protection locked="0"/>
    </xf>
    <xf numFmtId="37" fontId="28" fillId="0" borderId="0" xfId="5" applyFill="1" applyAlignment="1">
      <alignment horizontal="center"/>
    </xf>
    <xf numFmtId="41" fontId="0" fillId="0" borderId="0" xfId="0" applyNumberFormat="1" applyFill="1"/>
    <xf numFmtId="171" fontId="0" fillId="0" borderId="0" xfId="1" applyNumberFormat="1" applyFont="1" applyFill="1"/>
    <xf numFmtId="3" fontId="33" fillId="0" borderId="0" xfId="0" applyNumberFormat="1" applyFont="1" applyAlignment="1"/>
    <xf numFmtId="42" fontId="11" fillId="0" borderId="0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3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7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20" fillId="0" borderId="0" xfId="0" applyNumberFormat="1" applyFont="1" applyBorder="1" applyAlignment="1"/>
    <xf numFmtId="0" fontId="3" fillId="0" borderId="0" xfId="0" applyNumberFormat="1" applyFont="1" applyBorder="1" applyAlignment="1"/>
    <xf numFmtId="164" fontId="7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10" fontId="3" fillId="0" borderId="0" xfId="0" applyNumberFormat="1" applyFont="1" applyBorder="1" applyAlignment="1"/>
    <xf numFmtId="175" fontId="3" fillId="0" borderId="0" xfId="0" applyNumberFormat="1" applyFont="1" applyBorder="1" applyAlignment="1">
      <alignment horizontal="center"/>
    </xf>
    <xf numFmtId="41" fontId="1" fillId="0" borderId="0" xfId="0" applyNumberFormat="1" applyFont="1"/>
    <xf numFmtId="0" fontId="34" fillId="0" borderId="0" xfId="0" applyFont="1"/>
    <xf numFmtId="0" fontId="35" fillId="0" borderId="0" xfId="0" applyFont="1"/>
    <xf numFmtId="0" fontId="35" fillId="0" borderId="0" xfId="0" applyFont="1" applyBorder="1"/>
    <xf numFmtId="0" fontId="35" fillId="5" borderId="7" xfId="0" applyFont="1" applyFill="1" applyBorder="1"/>
    <xf numFmtId="0" fontId="35" fillId="5" borderId="8" xfId="0" applyFont="1" applyFill="1" applyBorder="1"/>
    <xf numFmtId="37" fontId="35" fillId="0" borderId="0" xfId="0" applyNumberFormat="1" applyFont="1" applyBorder="1" applyAlignment="1">
      <alignment horizontal="center"/>
    </xf>
    <xf numFmtId="37" fontId="35" fillId="0" borderId="0" xfId="0" applyNumberFormat="1" applyFont="1"/>
    <xf numFmtId="41" fontId="35" fillId="0" borderId="0" xfId="0" applyNumberFormat="1" applyFont="1"/>
    <xf numFmtId="171" fontId="35" fillId="0" borderId="0" xfId="0" applyNumberFormat="1" applyFont="1"/>
    <xf numFmtId="1" fontId="35" fillId="0" borderId="0" xfId="0" applyNumberFormat="1" applyFont="1"/>
    <xf numFmtId="40" fontId="35" fillId="0" borderId="0" xfId="0" applyNumberFormat="1" applyFont="1"/>
    <xf numFmtId="0" fontId="35" fillId="0" borderId="0" xfId="0" applyFont="1" applyAlignment="1">
      <alignment horizontal="center"/>
    </xf>
    <xf numFmtId="41" fontId="35" fillId="0" borderId="4" xfId="0" applyNumberFormat="1" applyFont="1" applyBorder="1"/>
    <xf numFmtId="171" fontId="35" fillId="0" borderId="4" xfId="0" applyNumberFormat="1" applyFont="1" applyBorder="1"/>
    <xf numFmtId="171" fontId="35" fillId="0" borderId="0" xfId="0" applyNumberFormat="1" applyFont="1" applyBorder="1"/>
    <xf numFmtId="41" fontId="35" fillId="0" borderId="0" xfId="0" applyNumberFormat="1" applyFont="1" applyBorder="1"/>
    <xf numFmtId="0" fontId="35" fillId="0" borderId="0" xfId="0" applyFont="1" applyBorder="1" applyAlignment="1">
      <alignment horizontal="center"/>
    </xf>
    <xf numFmtId="171" fontId="35" fillId="0" borderId="0" xfId="1" applyNumberFormat="1" applyFont="1"/>
    <xf numFmtId="0" fontId="15" fillId="0" borderId="0" xfId="0" applyFont="1"/>
    <xf numFmtId="0" fontId="35" fillId="0" borderId="4" xfId="0" applyFont="1" applyBorder="1" applyAlignment="1">
      <alignment horizontal="center"/>
    </xf>
    <xf numFmtId="172" fontId="35" fillId="0" borderId="0" xfId="0" applyNumberFormat="1" applyFont="1"/>
    <xf numFmtId="174" fontId="35" fillId="0" borderId="0" xfId="0" applyNumberFormat="1" applyFont="1"/>
    <xf numFmtId="0" fontId="3" fillId="0" borderId="4" xfId="0" applyNumberFormat="1" applyFont="1" applyBorder="1" applyAlignment="1">
      <alignment horizontal="center"/>
    </xf>
    <xf numFmtId="171" fontId="3" fillId="0" borderId="0" xfId="1" applyNumberFormat="1" applyFont="1" applyAlignment="1"/>
    <xf numFmtId="171" fontId="3" fillId="0" borderId="4" xfId="1" applyNumberFormat="1" applyFont="1" applyBorder="1" applyAlignment="1"/>
    <xf numFmtId="0" fontId="8" fillId="0" borderId="0" xfId="0" applyNumberFormat="1" applyFont="1" applyBorder="1" applyAlignment="1"/>
    <xf numFmtId="0" fontId="4" fillId="0" borderId="0" xfId="0" applyNumberFormat="1" applyFont="1" applyAlignment="1"/>
    <xf numFmtId="0" fontId="35" fillId="0" borderId="0" xfId="0" applyNumberFormat="1" applyFont="1" applyAlignment="1"/>
    <xf numFmtId="0" fontId="1" fillId="0" borderId="0" xfId="0" applyFont="1" applyAlignment="1">
      <alignment horizontal="center"/>
    </xf>
    <xf numFmtId="171" fontId="1" fillId="0" borderId="0" xfId="0" applyNumberFormat="1" applyFont="1"/>
    <xf numFmtId="0" fontId="6" fillId="0" borderId="0" xfId="0" applyFont="1" applyFill="1" applyBorder="1" applyAlignment="1">
      <alignment horizontal="left" vertical="top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/>
    <xf numFmtId="0" fontId="3" fillId="0" borderId="0" xfId="0" applyFont="1"/>
    <xf numFmtId="0" fontId="8" fillId="0" borderId="0" xfId="0" applyFont="1"/>
    <xf numFmtId="3" fontId="8" fillId="0" borderId="0" xfId="0" applyNumberFormat="1" applyFont="1" applyBorder="1" applyAlignment="1"/>
    <xf numFmtId="0" fontId="8" fillId="0" borderId="0" xfId="0" applyFont="1" applyBorder="1"/>
    <xf numFmtId="173" fontId="1" fillId="0" borderId="0" xfId="0" applyNumberFormat="1" applyFont="1" applyBorder="1" applyAlignment="1"/>
    <xf numFmtId="3" fontId="1" fillId="0" borderId="4" xfId="0" applyNumberFormat="1" applyFont="1" applyBorder="1" applyAlignment="1"/>
    <xf numFmtId="37" fontId="1" fillId="0" borderId="0" xfId="0" applyNumberFormat="1" applyFont="1" applyAlignment="1"/>
    <xf numFmtId="167" fontId="3" fillId="0" borderId="0" xfId="0" applyNumberFormat="1" applyFont="1" applyBorder="1" applyAlignment="1"/>
    <xf numFmtId="171" fontId="0" fillId="0" borderId="0" xfId="1" applyNumberFormat="1" applyFont="1" applyFill="1" applyBorder="1"/>
    <xf numFmtId="172" fontId="1" fillId="0" borderId="0" xfId="0" applyNumberFormat="1" applyFont="1"/>
    <xf numFmtId="41" fontId="3" fillId="0" borderId="0" xfId="0" applyNumberFormat="1" applyFont="1" applyBorder="1" applyAlignment="1"/>
    <xf numFmtId="169" fontId="1" fillId="0" borderId="0" xfId="0" applyNumberFormat="1" applyFont="1" applyBorder="1" applyAlignment="1"/>
    <xf numFmtId="166" fontId="3" fillId="0" borderId="0" xfId="0" applyNumberFormat="1" applyFont="1" applyBorder="1" applyAlignment="1"/>
    <xf numFmtId="172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6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/>
    <xf numFmtId="166" fontId="1" fillId="0" borderId="0" xfId="0" applyNumberFormat="1" applyFont="1" applyBorder="1" applyAlignment="1"/>
    <xf numFmtId="41" fontId="1" fillId="0" borderId="0" xfId="0" applyNumberFormat="1" applyFont="1" applyBorder="1" applyAlignment="1"/>
    <xf numFmtId="10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/>
    <xf numFmtId="41" fontId="1" fillId="0" borderId="4" xfId="0" applyNumberFormat="1" applyFont="1" applyBorder="1" applyAlignment="1"/>
    <xf numFmtId="0" fontId="0" fillId="0" borderId="4" xfId="0" applyBorder="1"/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/>
    <xf numFmtId="3" fontId="12" fillId="0" borderId="0" xfId="0" applyNumberFormat="1" applyFont="1" applyBorder="1" applyAlignment="1">
      <alignment horizontal="centerContinuous"/>
    </xf>
    <xf numFmtId="166" fontId="12" fillId="0" borderId="0" xfId="0" applyNumberFormat="1" applyFont="1" applyBorder="1" applyAlignment="1">
      <alignment horizontal="centerContinuous"/>
    </xf>
    <xf numFmtId="169" fontId="12" fillId="0" borderId="0" xfId="0" applyNumberFormat="1" applyFont="1" applyBorder="1" applyAlignment="1"/>
    <xf numFmtId="0" fontId="17" fillId="0" borderId="0" xfId="0" applyFont="1" applyBorder="1"/>
    <xf numFmtId="3" fontId="1" fillId="0" borderId="0" xfId="0" applyNumberFormat="1" applyFont="1" applyBorder="1" applyAlignment="1">
      <alignment horizontal="left"/>
    </xf>
    <xf numFmtId="173" fontId="1" fillId="0" borderId="0" xfId="13" applyNumberFormat="1" applyFont="1" applyAlignment="1">
      <alignment horizontal="left"/>
    </xf>
    <xf numFmtId="41" fontId="1" fillId="0" borderId="0" xfId="0" applyNumberFormat="1" applyFont="1" applyFill="1" applyAlignment="1"/>
    <xf numFmtId="0" fontId="35" fillId="0" borderId="0" xfId="0" applyFont="1" applyFill="1"/>
    <xf numFmtId="3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41" fontId="1" fillId="0" borderId="4" xfId="0" applyNumberFormat="1" applyFont="1" applyFill="1" applyBorder="1" applyAlignment="1"/>
    <xf numFmtId="0" fontId="1" fillId="0" borderId="4" xfId="0" applyNumberFormat="1" applyFont="1" applyBorder="1" applyAlignment="1"/>
    <xf numFmtId="3" fontId="3" fillId="0" borderId="0" xfId="0" applyNumberFormat="1" applyFont="1" applyFill="1" applyAlignment="1"/>
    <xf numFmtId="171" fontId="1" fillId="0" borderId="0" xfId="1" applyNumberFormat="1" applyFont="1" applyAlignment="1"/>
    <xf numFmtId="171" fontId="3" fillId="0" borderId="0" xfId="1" applyNumberFormat="1" applyFont="1" applyAlignment="1">
      <alignment horizontal="centerContinuous"/>
    </xf>
    <xf numFmtId="171" fontId="3" fillId="0" borderId="0" xfId="1" applyNumberFormat="1" applyFont="1" applyBorder="1" applyAlignment="1">
      <alignment horizontal="center"/>
    </xf>
    <xf numFmtId="167" fontId="1" fillId="0" borderId="6" xfId="0" applyNumberFormat="1" applyFont="1" applyBorder="1" applyAlignment="1"/>
    <xf numFmtId="171" fontId="3" fillId="0" borderId="0" xfId="1" applyNumberFormat="1" applyFont="1" applyBorder="1" applyAlignment="1"/>
    <xf numFmtId="0" fontId="2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/>
    <xf numFmtId="43" fontId="8" fillId="0" borderId="0" xfId="0" applyNumberFormat="1" applyFont="1" applyBorder="1" applyAlignment="1"/>
    <xf numFmtId="171" fontId="1" fillId="0" borderId="0" xfId="0" applyNumberFormat="1" applyFont="1" applyBorder="1" applyAlignment="1"/>
    <xf numFmtId="3" fontId="14" fillId="0" borderId="0" xfId="0" applyNumberFormat="1" applyFont="1" applyAlignment="1">
      <alignment horizontal="centerContinuous"/>
    </xf>
    <xf numFmtId="3" fontId="35" fillId="0" borderId="0" xfId="0" applyNumberFormat="1" applyFont="1" applyAlignment="1">
      <alignment horizontal="centerContinuous"/>
    </xf>
    <xf numFmtId="10" fontId="1" fillId="0" borderId="0" xfId="13" applyNumberFormat="1" applyFont="1" applyAlignment="1"/>
    <xf numFmtId="177" fontId="29" fillId="0" borderId="0" xfId="7" applyNumberFormat="1" applyFont="1" applyFill="1" applyProtection="1">
      <protection locked="0"/>
    </xf>
    <xf numFmtId="0" fontId="3" fillId="0" borderId="0" xfId="0" applyNumberFormat="1" applyFont="1" applyAlignment="1">
      <alignment horizontal="justify" vertical="top" wrapText="1"/>
    </xf>
    <xf numFmtId="41" fontId="1" fillId="0" borderId="4" xfId="0" applyNumberFormat="1" applyFont="1" applyBorder="1"/>
    <xf numFmtId="41" fontId="1" fillId="0" borderId="0" xfId="0" applyNumberFormat="1" applyFont="1" applyBorder="1"/>
    <xf numFmtId="37" fontId="35" fillId="0" borderId="0" xfId="0" applyNumberFormat="1" applyFont="1" applyFill="1"/>
    <xf numFmtId="0" fontId="35" fillId="0" borderId="0" xfId="0" applyFont="1" applyFill="1" applyBorder="1"/>
    <xf numFmtId="171" fontId="35" fillId="0" borderId="0" xfId="1" applyNumberFormat="1" applyFont="1" applyFill="1" applyBorder="1"/>
    <xf numFmtId="171" fontId="35" fillId="0" borderId="0" xfId="1" applyNumberFormat="1" applyFont="1" applyFill="1"/>
    <xf numFmtId="41" fontId="11" fillId="0" borderId="0" xfId="0" applyNumberFormat="1" applyFont="1"/>
    <xf numFmtId="0" fontId="10" fillId="0" borderId="0" xfId="0" applyFont="1" applyBorder="1"/>
    <xf numFmtId="176" fontId="35" fillId="0" borderId="0" xfId="2" applyNumberFormat="1" applyFont="1" applyBorder="1"/>
    <xf numFmtId="3" fontId="0" fillId="0" borderId="0" xfId="0" applyNumberFormat="1" applyBorder="1"/>
    <xf numFmtId="0" fontId="2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0" fillId="0" borderId="0" xfId="0" applyBorder="1" applyAlignment="1">
      <alignment horizontal="justify" vertical="top" wrapText="1"/>
    </xf>
    <xf numFmtId="0" fontId="11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3" fillId="0" borderId="0" xfId="0" applyFont="1"/>
    <xf numFmtId="0" fontId="1" fillId="0" borderId="0" xfId="0" applyFont="1" applyFill="1"/>
    <xf numFmtId="0" fontId="35" fillId="0" borderId="0" xfId="0" applyFont="1" applyFill="1" applyAlignment="1">
      <alignment horizontal="center"/>
    </xf>
    <xf numFmtId="41" fontId="1" fillId="0" borderId="0" xfId="0" applyNumberFormat="1" applyFont="1" applyFill="1"/>
    <xf numFmtId="171" fontId="35" fillId="0" borderId="0" xfId="0" applyNumberFormat="1" applyFont="1" applyFill="1"/>
    <xf numFmtId="43" fontId="35" fillId="0" borderId="0" xfId="0" applyNumberFormat="1" applyFont="1" applyFill="1"/>
    <xf numFmtId="171" fontId="0" fillId="0" borderId="0" xfId="0" applyNumberFormat="1" applyFill="1"/>
    <xf numFmtId="176" fontId="0" fillId="0" borderId="0" xfId="2" applyNumberFormat="1" applyFont="1"/>
    <xf numFmtId="171" fontId="0" fillId="0" borderId="4" xfId="1" applyNumberFormat="1" applyFont="1" applyBorder="1"/>
    <xf numFmtId="178" fontId="35" fillId="0" borderId="0" xfId="0" applyNumberFormat="1" applyFont="1"/>
    <xf numFmtId="0" fontId="1" fillId="0" borderId="0" xfId="0" applyFont="1" applyBorder="1"/>
    <xf numFmtId="41" fontId="35" fillId="0" borderId="8" xfId="0" applyNumberFormat="1" applyFont="1" applyBorder="1"/>
    <xf numFmtId="41" fontId="35" fillId="0" borderId="5" xfId="0" applyNumberFormat="1" applyFont="1" applyBorder="1"/>
    <xf numFmtId="0" fontId="1" fillId="6" borderId="0" xfId="0" applyFont="1" applyFill="1"/>
    <xf numFmtId="37" fontId="28" fillId="0" borderId="0" xfId="5" applyFill="1" applyBorder="1" applyAlignment="1">
      <alignment horizontal="center"/>
    </xf>
    <xf numFmtId="37" fontId="29" fillId="0" borderId="0" xfId="5" applyNumberFormat="1" applyFont="1" applyFill="1" applyBorder="1" applyAlignment="1" applyProtection="1">
      <alignment horizontal="center"/>
    </xf>
    <xf numFmtId="0" fontId="0" fillId="0" borderId="0" xfId="0" applyFill="1" applyBorder="1"/>
    <xf numFmtId="37" fontId="28" fillId="0" borderId="0" xfId="5" applyFont="1" applyFill="1" applyBorder="1" applyAlignment="1">
      <alignment horizontal="center"/>
    </xf>
    <xf numFmtId="41" fontId="0" fillId="0" borderId="0" xfId="0" applyNumberFormat="1" applyFill="1" applyBorder="1"/>
    <xf numFmtId="37" fontId="29" fillId="0" borderId="0" xfId="5" applyFont="1" applyFill="1" applyBorder="1" applyAlignment="1">
      <alignment horizontal="center"/>
    </xf>
    <xf numFmtId="37" fontId="28" fillId="0" borderId="0" xfId="5" applyFont="1" applyFill="1" applyBorder="1" applyProtection="1"/>
    <xf numFmtId="37" fontId="28" fillId="4" borderId="0" xfId="5" applyFill="1" applyBorder="1" applyAlignment="1">
      <alignment horizontal="center"/>
    </xf>
    <xf numFmtId="176" fontId="29" fillId="0" borderId="0" xfId="2" applyNumberFormat="1" applyFont="1" applyFill="1" applyBorder="1" applyProtection="1"/>
    <xf numFmtId="37" fontId="29" fillId="0" borderId="0" xfId="5" applyNumberFormat="1" applyFont="1" applyFill="1" applyBorder="1" applyAlignment="1">
      <alignment horizontal="center"/>
    </xf>
    <xf numFmtId="3" fontId="29" fillId="0" borderId="0" xfId="5" quotePrefix="1" applyNumberFormat="1" applyFont="1" applyFill="1" applyBorder="1" applyAlignment="1">
      <alignment horizontal="center"/>
    </xf>
    <xf numFmtId="171" fontId="35" fillId="0" borderId="0" xfId="1" applyNumberFormat="1" applyFont="1" applyBorder="1"/>
    <xf numFmtId="41" fontId="35" fillId="0" borderId="0" xfId="0" applyNumberFormat="1" applyFont="1" applyFill="1"/>
    <xf numFmtId="1" fontId="35" fillId="0" borderId="0" xfId="0" applyNumberFormat="1" applyFont="1" applyFill="1"/>
    <xf numFmtId="0" fontId="37" fillId="0" borderId="0" xfId="0" applyFont="1"/>
    <xf numFmtId="172" fontId="37" fillId="0" borderId="0" xfId="0" applyNumberFormat="1" applyFont="1"/>
    <xf numFmtId="0" fontId="37" fillId="0" borderId="0" xfId="0" applyNumberFormat="1" applyFont="1" applyAlignment="1">
      <alignment horizontal="centerContinuous"/>
    </xf>
    <xf numFmtId="0" fontId="38" fillId="0" borderId="0" xfId="0" applyNumberFormat="1" applyFont="1" applyAlignment="1">
      <alignment horizontal="centerContinuous"/>
    </xf>
    <xf numFmtId="0" fontId="38" fillId="0" borderId="0" xfId="0" applyNumberFormat="1" applyFont="1" applyAlignment="1"/>
    <xf numFmtId="0" fontId="38" fillId="0" borderId="0" xfId="0" applyNumberFormat="1" applyFont="1" applyAlignment="1">
      <alignment horizontal="center"/>
    </xf>
    <xf numFmtId="0" fontId="37" fillId="0" borderId="0" xfId="0" applyNumberFormat="1" applyFont="1" applyAlignment="1"/>
    <xf numFmtId="0" fontId="38" fillId="0" borderId="2" xfId="0" applyNumberFormat="1" applyFont="1" applyBorder="1" applyAlignment="1">
      <alignment horizontal="center"/>
    </xf>
    <xf numFmtId="3" fontId="38" fillId="0" borderId="0" xfId="0" applyNumberFormat="1" applyFont="1" applyAlignment="1"/>
    <xf numFmtId="3" fontId="38" fillId="0" borderId="2" xfId="0" applyNumberFormat="1" applyFont="1" applyBorder="1" applyAlignment="1"/>
    <xf numFmtId="0" fontId="37" fillId="0" borderId="0" xfId="0" applyNumberFormat="1" applyFont="1"/>
    <xf numFmtId="3" fontId="38" fillId="0" borderId="3" xfId="0" applyNumberFormat="1" applyFont="1" applyBorder="1" applyAlignment="1"/>
    <xf numFmtId="3" fontId="37" fillId="0" borderId="0" xfId="0" applyNumberFormat="1" applyFont="1"/>
    <xf numFmtId="0" fontId="37" fillId="0" borderId="3" xfId="0" applyNumberFormat="1" applyFont="1" applyBorder="1"/>
    <xf numFmtId="0" fontId="38" fillId="0" borderId="0" xfId="0" applyNumberFormat="1" applyFont="1" applyBorder="1" applyAlignment="1">
      <alignment horizontal="centerContinuous" vertical="top" wrapText="1"/>
    </xf>
    <xf numFmtId="0" fontId="38" fillId="0" borderId="0" xfId="0" applyNumberFormat="1" applyFont="1" applyBorder="1" applyAlignment="1"/>
    <xf numFmtId="0" fontId="11" fillId="0" borderId="4" xfId="0" applyFont="1" applyBorder="1" applyAlignment="1">
      <alignment horizontal="center"/>
    </xf>
    <xf numFmtId="164" fontId="3" fillId="0" borderId="8" xfId="0" applyNumberFormat="1" applyFont="1" applyBorder="1" applyAlignment="1"/>
    <xf numFmtId="164" fontId="3" fillId="6" borderId="4" xfId="0" applyNumberFormat="1" applyFont="1" applyFill="1" applyBorder="1" applyAlignment="1"/>
    <xf numFmtId="43" fontId="35" fillId="0" borderId="0" xfId="1" applyFont="1"/>
    <xf numFmtId="176" fontId="11" fillId="0" borderId="4" xfId="2" applyNumberFormat="1" applyFont="1" applyBorder="1"/>
    <xf numFmtId="171" fontId="35" fillId="0" borderId="8" xfId="1" applyNumberFormat="1" applyFont="1" applyBorder="1"/>
    <xf numFmtId="171" fontId="35" fillId="0" borderId="4" xfId="1" applyNumberFormat="1" applyFont="1" applyBorder="1"/>
    <xf numFmtId="171" fontId="1" fillId="0" borderId="0" xfId="1" applyNumberFormat="1" applyFont="1"/>
    <xf numFmtId="179" fontId="3" fillId="0" borderId="0" xfId="1" applyNumberFormat="1" applyFont="1" applyBorder="1" applyAlignment="1"/>
    <xf numFmtId="176" fontId="1" fillId="0" borderId="0" xfId="2" applyNumberFormat="1" applyFont="1" applyAlignment="1"/>
    <xf numFmtId="176" fontId="1" fillId="0" borderId="0" xfId="2" applyNumberFormat="1" applyFont="1" applyBorder="1" applyAlignment="1"/>
    <xf numFmtId="176" fontId="0" fillId="0" borderId="4" xfId="2" applyNumberFormat="1" applyFont="1" applyBorder="1"/>
    <xf numFmtId="176" fontId="1" fillId="0" borderId="4" xfId="2" applyNumberFormat="1" applyFont="1" applyBorder="1" applyAlignment="1"/>
    <xf numFmtId="0" fontId="3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center"/>
    </xf>
    <xf numFmtId="0" fontId="35" fillId="7" borderId="0" xfId="0" applyFont="1" applyFill="1"/>
    <xf numFmtId="3" fontId="35" fillId="7" borderId="0" xfId="0" applyNumberFormat="1" applyFont="1" applyFill="1"/>
    <xf numFmtId="0" fontId="3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Continuous"/>
    </xf>
    <xf numFmtId="0" fontId="39" fillId="0" borderId="0" xfId="0" applyNumberFormat="1" applyFont="1" applyAlignment="1"/>
    <xf numFmtId="0" fontId="39" fillId="0" borderId="0" xfId="0" applyNumberFormat="1" applyFont="1" applyAlignment="1">
      <alignment horizontal="left" vertical="top"/>
    </xf>
    <xf numFmtId="0" fontId="39" fillId="0" borderId="0" xfId="0" applyNumberFormat="1" applyFont="1" applyAlignment="1">
      <alignment horizontal="centerContinuous" vertical="top" wrapText="1"/>
    </xf>
    <xf numFmtId="0" fontId="39" fillId="0" borderId="0" xfId="0" applyNumberFormat="1" applyFont="1" applyAlignment="1">
      <alignment horizontal="center"/>
    </xf>
    <xf numFmtId="0" fontId="39" fillId="0" borderId="2" xfId="0" applyNumberFormat="1" applyFont="1" applyBorder="1" applyAlignment="1">
      <alignment horizontal="centerContinuous"/>
    </xf>
    <xf numFmtId="0" fontId="39" fillId="0" borderId="2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Continuous"/>
    </xf>
    <xf numFmtId="0" fontId="39" fillId="0" borderId="0" xfId="0" applyNumberFormat="1" applyFont="1" applyBorder="1" applyAlignment="1">
      <alignment horizontal="center"/>
    </xf>
    <xf numFmtId="0" fontId="40" fillId="0" borderId="0" xfId="0" applyNumberFormat="1" applyFont="1" applyAlignment="1"/>
    <xf numFmtId="0" fontId="41" fillId="0" borderId="0" xfId="0" applyNumberFormat="1" applyFont="1" applyAlignment="1"/>
    <xf numFmtId="164" fontId="39" fillId="0" borderId="0" xfId="0" applyNumberFormat="1" applyFont="1" applyAlignment="1"/>
    <xf numFmtId="0" fontId="39" fillId="0" borderId="0" xfId="0" applyNumberFormat="1" applyFont="1" applyBorder="1" applyAlignment="1"/>
    <xf numFmtId="164" fontId="42" fillId="0" borderId="0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19" fillId="0" borderId="0" xfId="0" applyFont="1"/>
    <xf numFmtId="0" fontId="39" fillId="0" borderId="4" xfId="0" applyNumberFormat="1" applyFont="1" applyBorder="1" applyAlignment="1">
      <alignment horizontal="center"/>
    </xf>
    <xf numFmtId="175" fontId="39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3" fontId="39" fillId="0" borderId="0" xfId="0" applyNumberFormat="1" applyFont="1" applyAlignment="1"/>
    <xf numFmtId="0" fontId="39" fillId="0" borderId="3" xfId="0" applyNumberFormat="1" applyFont="1" applyBorder="1" applyAlignment="1"/>
    <xf numFmtId="3" fontId="43" fillId="0" borderId="3" xfId="0" applyNumberFormat="1" applyFont="1" applyBorder="1" applyAlignment="1"/>
    <xf numFmtId="164" fontId="43" fillId="0" borderId="0" xfId="0" applyNumberFormat="1" applyFont="1" applyAlignment="1"/>
    <xf numFmtId="0" fontId="1" fillId="0" borderId="3" xfId="0" applyNumberFormat="1" applyFont="1" applyBorder="1" applyAlignment="1"/>
    <xf numFmtId="3" fontId="39" fillId="0" borderId="4" xfId="0" applyNumberFormat="1" applyFont="1" applyBorder="1" applyAlignment="1"/>
    <xf numFmtId="175" fontId="39" fillId="0" borderId="2" xfId="0" applyNumberFormat="1" applyFont="1" applyBorder="1" applyAlignment="1">
      <alignment horizontal="center"/>
    </xf>
    <xf numFmtId="0" fontId="39" fillId="0" borderId="2" xfId="0" applyNumberFormat="1" applyFont="1" applyBorder="1" applyAlignment="1"/>
    <xf numFmtId="171" fontId="39" fillId="0" borderId="0" xfId="1" applyNumberFormat="1" applyFont="1" applyAlignment="1"/>
    <xf numFmtId="171" fontId="39" fillId="0" borderId="0" xfId="1" applyNumberFormat="1" applyFont="1" applyAlignment="1">
      <alignment horizontal="center"/>
    </xf>
    <xf numFmtId="171" fontId="39" fillId="0" borderId="0" xfId="1" applyNumberFormat="1" applyFont="1" applyBorder="1" applyAlignment="1">
      <alignment horizontal="center"/>
    </xf>
    <xf numFmtId="0" fontId="44" fillId="0" borderId="0" xfId="0" applyNumberFormat="1" applyFont="1" applyAlignment="1"/>
    <xf numFmtId="171" fontId="39" fillId="0" borderId="0" xfId="1" applyNumberFormat="1" applyFont="1"/>
    <xf numFmtId="171" fontId="44" fillId="0" borderId="0" xfId="1" applyNumberFormat="1" applyFont="1" applyAlignment="1"/>
    <xf numFmtId="171" fontId="39" fillId="0" borderId="4" xfId="1" applyNumberFormat="1" applyFont="1" applyBorder="1"/>
    <xf numFmtId="171" fontId="39" fillId="0" borderId="2" xfId="1" applyNumberFormat="1" applyFont="1" applyBorder="1" applyAlignment="1"/>
    <xf numFmtId="171" fontId="44" fillId="0" borderId="0" xfId="1" applyNumberFormat="1" applyFont="1" applyBorder="1" applyAlignment="1"/>
    <xf numFmtId="171" fontId="39" fillId="0" borderId="0" xfId="1" applyNumberFormat="1" applyFont="1" applyBorder="1" applyAlignment="1"/>
    <xf numFmtId="171" fontId="39" fillId="0" borderId="3" xfId="1" applyNumberFormat="1" applyFont="1" applyBorder="1" applyAlignment="1"/>
    <xf numFmtId="171" fontId="39" fillId="0" borderId="4" xfId="1" applyNumberFormat="1" applyFont="1" applyBorder="1" applyAlignment="1"/>
    <xf numFmtId="171" fontId="39" fillId="0" borderId="0" xfId="1" applyNumberFormat="1" applyFont="1" applyAlignment="1">
      <alignment horizontal="centerContinuous"/>
    </xf>
    <xf numFmtId="0" fontId="39" fillId="0" borderId="0" xfId="0" applyNumberFormat="1" applyFont="1" applyAlignment="1">
      <alignment vertical="top"/>
    </xf>
    <xf numFmtId="171" fontId="39" fillId="0" borderId="0" xfId="1" applyNumberFormat="1" applyFont="1" applyAlignment="1">
      <alignment horizontal="centerContinuous" vertical="top" wrapText="1"/>
    </xf>
    <xf numFmtId="0" fontId="39" fillId="0" borderId="0" xfId="0" applyFont="1" applyAlignment="1"/>
    <xf numFmtId="0" fontId="39" fillId="0" borderId="4" xfId="0" applyNumberFormat="1" applyFont="1" applyBorder="1" applyAlignment="1">
      <alignment horizontal="centerContinuous"/>
    </xf>
    <xf numFmtId="0" fontId="39" fillId="0" borderId="4" xfId="0" applyFont="1" applyBorder="1" applyAlignment="1">
      <alignment horizontal="center"/>
    </xf>
    <xf numFmtId="171" fontId="39" fillId="0" borderId="4" xfId="1" applyNumberFormat="1" applyFont="1" applyBorder="1" applyAlignment="1">
      <alignment horizontal="center"/>
    </xf>
    <xf numFmtId="175" fontId="39" fillId="0" borderId="0" xfId="0" applyNumberFormat="1" applyFont="1" applyAlignment="1">
      <alignment horizontal="center"/>
    </xf>
    <xf numFmtId="175" fontId="39" fillId="0" borderId="0" xfId="1" applyNumberFormat="1" applyFont="1" applyAlignment="1">
      <alignment horizontal="center"/>
    </xf>
    <xf numFmtId="0" fontId="45" fillId="3" borderId="0" xfId="0" applyNumberFormat="1" applyFont="1" applyFill="1" applyAlignment="1"/>
    <xf numFmtId="176" fontId="39" fillId="0" borderId="0" xfId="2" applyNumberFormat="1" applyFont="1" applyProtection="1">
      <protection locked="0"/>
    </xf>
    <xf numFmtId="171" fontId="39" fillId="0" borderId="0" xfId="1" applyNumberFormat="1" applyFont="1" applyProtection="1">
      <protection locked="0"/>
    </xf>
    <xf numFmtId="171" fontId="45" fillId="3" borderId="6" xfId="1" applyNumberFormat="1" applyFont="1" applyFill="1" applyBorder="1" applyAlignment="1"/>
    <xf numFmtId="0" fontId="44" fillId="0" borderId="0" xfId="0" applyNumberFormat="1" applyFont="1" applyAlignment="1">
      <alignment horizontal="left" vertical="top"/>
    </xf>
    <xf numFmtId="0" fontId="39" fillId="3" borderId="0" xfId="0" applyNumberFormat="1" applyFont="1" applyFill="1" applyAlignment="1"/>
    <xf numFmtId="171" fontId="45" fillId="3" borderId="0" xfId="1" applyNumberFormat="1" applyFont="1" applyFill="1" applyBorder="1" applyAlignment="1"/>
    <xf numFmtId="171" fontId="45" fillId="3" borderId="10" xfId="1" applyNumberFormat="1" applyFont="1" applyFill="1" applyBorder="1" applyAlignment="1"/>
    <xf numFmtId="171" fontId="39" fillId="0" borderId="6" xfId="1" applyNumberFormat="1" applyFont="1" applyBorder="1" applyAlignment="1"/>
    <xf numFmtId="179" fontId="3" fillId="0" borderId="4" xfId="1" applyNumberFormat="1" applyFont="1" applyBorder="1" applyAlignment="1"/>
    <xf numFmtId="0" fontId="39" fillId="0" borderId="0" xfId="0" applyNumberFormat="1" applyFont="1" applyFill="1" applyAlignment="1"/>
    <xf numFmtId="3" fontId="42" fillId="0" borderId="0" xfId="0" applyNumberFormat="1" applyFont="1" applyBorder="1" applyAlignment="1"/>
    <xf numFmtId="164" fontId="39" fillId="0" borderId="0" xfId="0" applyNumberFormat="1" applyFont="1" applyFill="1" applyAlignment="1"/>
    <xf numFmtId="179" fontId="39" fillId="0" borderId="0" xfId="1" applyNumberFormat="1" applyFont="1" applyAlignment="1"/>
    <xf numFmtId="179" fontId="39" fillId="0" borderId="2" xfId="1" applyNumberFormat="1" applyFont="1" applyBorder="1" applyAlignment="1"/>
    <xf numFmtId="179" fontId="39" fillId="0" borderId="6" xfId="1" applyNumberFormat="1" applyFont="1" applyBorder="1" applyAlignment="1"/>
    <xf numFmtId="179" fontId="3" fillId="0" borderId="6" xfId="1" applyNumberFormat="1" applyFont="1" applyBorder="1" applyAlignment="1"/>
    <xf numFmtId="3" fontId="3" fillId="0" borderId="4" xfId="0" applyNumberFormat="1" applyFont="1" applyBorder="1" applyAlignment="1"/>
    <xf numFmtId="3" fontId="39" fillId="0" borderId="0" xfId="0" quotePrefix="1" applyNumberFormat="1" applyFont="1" applyAlignment="1"/>
    <xf numFmtId="171" fontId="8" fillId="0" borderId="0" xfId="1" applyNumberFormat="1" applyFont="1" applyBorder="1"/>
    <xf numFmtId="171" fontId="8" fillId="0" borderId="4" xfId="1" applyNumberFormat="1" applyFont="1" applyBorder="1"/>
    <xf numFmtId="171" fontId="8" fillId="0" borderId="6" xfId="1" applyNumberFormat="1" applyFont="1" applyBorder="1"/>
    <xf numFmtId="171" fontId="1" fillId="0" borderId="0" xfId="0" applyNumberFormat="1" applyFont="1" applyAlignment="1"/>
    <xf numFmtId="0" fontId="1" fillId="0" borderId="0" xfId="0" applyFont="1" applyFill="1" applyAlignment="1">
      <alignment horizontal="center"/>
    </xf>
    <xf numFmtId="41" fontId="35" fillId="0" borderId="4" xfId="0" applyNumberFormat="1" applyFont="1" applyFill="1" applyBorder="1"/>
    <xf numFmtId="0" fontId="0" fillId="0" borderId="0" xfId="0" applyFont="1" applyFill="1"/>
    <xf numFmtId="0" fontId="35" fillId="0" borderId="0" xfId="0" applyFont="1" applyFill="1" applyBorder="1" applyAlignment="1">
      <alignment horizontal="center"/>
    </xf>
    <xf numFmtId="171" fontId="1" fillId="0" borderId="0" xfId="0" applyNumberFormat="1" applyFont="1" applyFill="1"/>
    <xf numFmtId="41" fontId="35" fillId="0" borderId="0" xfId="0" applyNumberFormat="1" applyFont="1" applyFill="1" applyBorder="1"/>
    <xf numFmtId="176" fontId="1" fillId="0" borderId="6" xfId="2" applyNumberFormat="1" applyFont="1" applyBorder="1" applyAlignment="1"/>
    <xf numFmtId="175" fontId="3" fillId="0" borderId="2" xfId="0" applyNumberFormat="1" applyFont="1" applyBorder="1" applyAlignment="1">
      <alignment horizontal="center"/>
    </xf>
    <xf numFmtId="176" fontId="1" fillId="0" borderId="6" xfId="2" applyNumberFormat="1" applyFont="1" applyFill="1" applyBorder="1" applyAlignment="1"/>
    <xf numFmtId="3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1" fontId="1" fillId="0" borderId="0" xfId="1" applyNumberFormat="1" applyFont="1" applyAlignment="1" applyProtection="1">
      <protection locked="0"/>
    </xf>
    <xf numFmtId="171" fontId="1" fillId="0" borderId="4" xfId="1" applyNumberFormat="1" applyFont="1" applyBorder="1" applyAlignment="1" applyProtection="1">
      <protection locked="0"/>
    </xf>
    <xf numFmtId="171" fontId="1" fillId="0" borderId="2" xfId="1" applyNumberFormat="1" applyFont="1" applyBorder="1" applyAlignment="1"/>
    <xf numFmtId="171" fontId="1" fillId="0" borderId="0" xfId="1" applyNumberFormat="1" applyFont="1" applyBorder="1" applyAlignment="1"/>
    <xf numFmtId="171" fontId="39" fillId="0" borderId="0" xfId="0" applyNumberFormat="1" applyFont="1" applyAlignment="1"/>
    <xf numFmtId="0" fontId="1" fillId="0" borderId="0" xfId="0" applyNumberFormat="1" applyFont="1" applyAlignment="1">
      <alignment horizontal="centerContinuous" vertical="top" wrapText="1"/>
    </xf>
    <xf numFmtId="2" fontId="35" fillId="0" borderId="0" xfId="0" applyNumberFormat="1" applyFont="1" applyAlignment="1">
      <alignment horizontal="center"/>
    </xf>
    <xf numFmtId="2" fontId="35" fillId="0" borderId="0" xfId="0" applyNumberFormat="1" applyFont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39" fillId="0" borderId="0" xfId="0" applyNumberFormat="1" applyFont="1" applyAlignment="1">
      <alignment horizontal="center"/>
    </xf>
    <xf numFmtId="171" fontId="39" fillId="0" borderId="4" xfId="0" applyNumberFormat="1" applyFont="1" applyBorder="1" applyAlignment="1"/>
    <xf numFmtId="176" fontId="0" fillId="0" borderId="0" xfId="2" applyNumberFormat="1" applyFont="1" applyBorder="1"/>
    <xf numFmtId="3" fontId="1" fillId="0" borderId="4" xfId="0" applyNumberFormat="1" applyFont="1" applyBorder="1" applyAlignment="1">
      <alignment horizontal="centerContinuous"/>
    </xf>
    <xf numFmtId="0" fontId="3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39" fillId="0" borderId="2" xfId="0" quotePrefix="1" applyNumberFormat="1" applyFont="1" applyBorder="1" applyAlignment="1">
      <alignment horizontal="center"/>
    </xf>
    <xf numFmtId="164" fontId="39" fillId="0" borderId="2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NumberFormat="1" applyFont="1" applyAlignment="1" applyProtection="1">
      <protection locked="0"/>
    </xf>
    <xf numFmtId="41" fontId="35" fillId="6" borderId="0" xfId="0" applyNumberFormat="1" applyFont="1" applyFill="1"/>
    <xf numFmtId="0" fontId="1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horizontal="center"/>
    </xf>
    <xf numFmtId="1" fontId="11" fillId="0" borderId="0" xfId="0" applyNumberFormat="1" applyFont="1"/>
    <xf numFmtId="37" fontId="1" fillId="0" borderId="0" xfId="5" applyFont="1" applyFill="1" applyProtection="1"/>
    <xf numFmtId="43" fontId="1" fillId="0" borderId="0" xfId="1" applyFont="1" applyAlignment="1"/>
    <xf numFmtId="0" fontId="1" fillId="7" borderId="0" xfId="0" applyFont="1" applyFill="1"/>
    <xf numFmtId="0" fontId="35" fillId="8" borderId="9" xfId="0" applyFont="1" applyFill="1" applyBorder="1" applyAlignment="1">
      <alignment horizontal="center"/>
    </xf>
    <xf numFmtId="41" fontId="13" fillId="0" borderId="0" xfId="0" applyNumberFormat="1" applyFont="1"/>
    <xf numFmtId="3" fontId="38" fillId="0" borderId="4" xfId="0" applyNumberFormat="1" applyFont="1" applyBorder="1" applyAlignment="1">
      <alignment horizontal="center"/>
    </xf>
    <xf numFmtId="178" fontId="35" fillId="9" borderId="0" xfId="0" applyNumberFormat="1" applyFont="1" applyFill="1"/>
    <xf numFmtId="171" fontId="1" fillId="0" borderId="0" xfId="1" applyNumberFormat="1" applyFont="1" applyFill="1"/>
    <xf numFmtId="171" fontId="39" fillId="0" borderId="6" xfId="0" applyNumberFormat="1" applyFont="1" applyBorder="1" applyAlignment="1"/>
    <xf numFmtId="0" fontId="11" fillId="0" borderId="4" xfId="0" applyFont="1" applyBorder="1" applyAlignment="1">
      <alignment horizontal="center"/>
    </xf>
    <xf numFmtId="171" fontId="1" fillId="0" borderId="4" xfId="0" applyNumberFormat="1" applyFont="1" applyBorder="1"/>
    <xf numFmtId="171" fontId="1" fillId="0" borderId="0" xfId="0" applyNumberFormat="1" applyFont="1" applyBorder="1"/>
    <xf numFmtId="0" fontId="1" fillId="6" borderId="4" xfId="0" applyFont="1" applyFill="1" applyBorder="1" applyAlignment="1">
      <alignment horizontal="center"/>
    </xf>
    <xf numFmtId="37" fontId="35" fillId="6" borderId="0" xfId="0" applyNumberFormat="1" applyFont="1" applyFill="1"/>
    <xf numFmtId="0" fontId="0" fillId="9" borderId="0" xfId="0" applyFill="1"/>
    <xf numFmtId="0" fontId="1" fillId="9" borderId="0" xfId="0" applyFont="1" applyFill="1"/>
    <xf numFmtId="0" fontId="46" fillId="9" borderId="0" xfId="0" applyFont="1" applyFill="1"/>
    <xf numFmtId="0" fontId="46" fillId="9" borderId="12" xfId="0" applyFont="1" applyFill="1" applyBorder="1" applyAlignment="1">
      <alignment horizontal="center"/>
    </xf>
    <xf numFmtId="179" fontId="1" fillId="0" borderId="0" xfId="0" applyNumberFormat="1" applyFont="1" applyAlignment="1"/>
    <xf numFmtId="173" fontId="1" fillId="0" borderId="4" xfId="0" applyNumberFormat="1" applyFont="1" applyBorder="1" applyAlignment="1"/>
    <xf numFmtId="43" fontId="1" fillId="0" borderId="0" xfId="0" applyNumberFormat="1" applyFont="1" applyBorder="1" applyAlignment="1"/>
    <xf numFmtId="171" fontId="1" fillId="0" borderId="0" xfId="1" applyNumberFormat="1" applyFont="1" applyFill="1" applyAlignment="1"/>
    <xf numFmtId="179" fontId="39" fillId="0" borderId="0" xfId="1" applyNumberFormat="1" applyFont="1" applyFill="1" applyAlignment="1"/>
    <xf numFmtId="0" fontId="1" fillId="0" borderId="0" xfId="0" applyNumberFormat="1" applyFont="1" applyFill="1" applyBorder="1" applyAlignment="1"/>
    <xf numFmtId="179" fontId="39" fillId="0" borderId="11" xfId="1" applyNumberFormat="1" applyFont="1" applyFill="1" applyBorder="1" applyAlignment="1"/>
    <xf numFmtId="171" fontId="39" fillId="0" borderId="0" xfId="1" applyNumberFormat="1" applyFont="1" applyFill="1" applyAlignment="1"/>
    <xf numFmtId="176" fontId="39" fillId="0" borderId="0" xfId="2" applyNumberFormat="1" applyFont="1" applyFill="1" applyBorder="1" applyAlignment="1"/>
    <xf numFmtId="171" fontId="39" fillId="0" borderId="0" xfId="1" applyNumberFormat="1" applyFont="1" applyFill="1" applyBorder="1" applyAlignment="1"/>
    <xf numFmtId="171" fontId="39" fillId="0" borderId="0" xfId="0" applyNumberFormat="1" applyFont="1" applyFill="1" applyBorder="1" applyAlignment="1"/>
    <xf numFmtId="171" fontId="39" fillId="0" borderId="4" xfId="1" applyNumberFormat="1" applyFont="1" applyFill="1" applyBorder="1" applyAlignment="1"/>
    <xf numFmtId="176" fontId="39" fillId="0" borderId="10" xfId="2" applyNumberFormat="1" applyFont="1" applyFill="1" applyBorder="1" applyAlignment="1"/>
    <xf numFmtId="171" fontId="1" fillId="0" borderId="0" xfId="1" applyNumberFormat="1" applyFont="1" applyFill="1" applyBorder="1" applyAlignment="1"/>
    <xf numFmtId="0" fontId="39" fillId="0" borderId="0" xfId="0" applyNumberFormat="1" applyFont="1" applyAlignment="1">
      <alignment horizontal="center"/>
    </xf>
    <xf numFmtId="176" fontId="45" fillId="3" borderId="10" xfId="2" applyNumberFormat="1" applyFont="1" applyFill="1" applyBorder="1" applyAlignment="1"/>
    <xf numFmtId="3" fontId="1" fillId="0" borderId="0" xfId="0" applyNumberFormat="1" applyFont="1" applyAlignment="1">
      <alignment horizontal="center"/>
    </xf>
    <xf numFmtId="3" fontId="3" fillId="10" borderId="0" xfId="0" applyNumberFormat="1" applyFont="1" applyFill="1" applyAlignment="1"/>
    <xf numFmtId="3" fontId="3" fillId="10" borderId="4" xfId="0" applyNumberFormat="1" applyFont="1" applyFill="1" applyBorder="1" applyAlignment="1"/>
    <xf numFmtId="0" fontId="0" fillId="10" borderId="0" xfId="0" applyFill="1"/>
    <xf numFmtId="0" fontId="3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9" fillId="0" borderId="4" xfId="0" applyNumberFormat="1" applyFont="1" applyBorder="1" applyAlignment="1">
      <alignment horizontal="center"/>
    </xf>
    <xf numFmtId="179" fontId="39" fillId="0" borderId="4" xfId="1" applyNumberFormat="1" applyFont="1" applyBorder="1" applyAlignment="1"/>
    <xf numFmtId="0" fontId="3" fillId="0" borderId="4" xfId="0" applyNumberFormat="1" applyFont="1" applyBorder="1" applyAlignment="1"/>
    <xf numFmtId="0" fontId="10" fillId="0" borderId="4" xfId="0" applyFont="1" applyFill="1" applyBorder="1" applyAlignment="1">
      <alignment horizontal="left"/>
    </xf>
    <xf numFmtId="41" fontId="35" fillId="0" borderId="8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1" fontId="11" fillId="0" borderId="4" xfId="0" applyNumberFormat="1" applyFont="1" applyFill="1" applyBorder="1"/>
    <xf numFmtId="41" fontId="11" fillId="0" borderId="0" xfId="0" applyNumberFormat="1" applyFont="1" applyFill="1" applyBorder="1"/>
    <xf numFmtId="0" fontId="15" fillId="0" borderId="0" xfId="0" applyFont="1" applyFill="1"/>
    <xf numFmtId="41" fontId="11" fillId="0" borderId="5" xfId="0" applyNumberFormat="1" applyFont="1" applyFill="1" applyBorder="1"/>
    <xf numFmtId="0" fontId="13" fillId="0" borderId="0" xfId="0" applyFont="1" applyFill="1"/>
    <xf numFmtId="0" fontId="32" fillId="0" borderId="0" xfId="0" applyNumberFormat="1" applyFont="1" applyFill="1" applyBorder="1" applyAlignment="1"/>
    <xf numFmtId="41" fontId="1" fillId="0" borderId="0" xfId="0" applyNumberFormat="1" applyFont="1" applyFill="1" applyBorder="1"/>
    <xf numFmtId="41" fontId="1" fillId="0" borderId="4" xfId="0" applyNumberFormat="1" applyFont="1" applyFill="1" applyBorder="1"/>
    <xf numFmtId="0" fontId="11" fillId="0" borderId="0" xfId="0" applyNumberFormat="1" applyFont="1" applyFill="1" applyAlignment="1"/>
    <xf numFmtId="41" fontId="11" fillId="0" borderId="0" xfId="0" applyNumberFormat="1" applyFont="1" applyFill="1"/>
    <xf numFmtId="40" fontId="11" fillId="0" borderId="0" xfId="0" applyNumberFormat="1" applyFont="1" applyFill="1" applyAlignment="1">
      <alignment horizontal="center"/>
    </xf>
    <xf numFmtId="42" fontId="11" fillId="0" borderId="4" xfId="0" applyNumberFormat="1" applyFont="1" applyFill="1" applyBorder="1"/>
    <xf numFmtId="41" fontId="37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43" fontId="0" fillId="0" borderId="0" xfId="0" applyNumberFormat="1" applyFill="1"/>
    <xf numFmtId="10" fontId="1" fillId="0" borderId="0" xfId="0" applyNumberFormat="1" applyFont="1" applyFill="1" applyAlignment="1"/>
    <xf numFmtId="2" fontId="1" fillId="0" borderId="0" xfId="0" applyNumberFormat="1" applyFont="1" applyFill="1" applyAlignment="1"/>
    <xf numFmtId="3" fontId="39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9" fillId="0" borderId="0" xfId="0" quotePrefix="1" applyNumberFormat="1" applyFont="1" applyFill="1" applyAlignment="1"/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172" fontId="35" fillId="6" borderId="0" xfId="0" applyNumberFormat="1" applyFont="1" applyFill="1"/>
    <xf numFmtId="43" fontId="1" fillId="0" borderId="0" xfId="0" applyNumberFormat="1" applyFont="1" applyAlignment="1"/>
    <xf numFmtId="43" fontId="6" fillId="0" borderId="0" xfId="0" applyNumberFormat="1" applyFont="1" applyFill="1" applyBorder="1" applyAlignment="1">
      <alignment horizontal="left" vertical="top"/>
    </xf>
    <xf numFmtId="171" fontId="1" fillId="0" borderId="0" xfId="1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39" fillId="0" borderId="4" xfId="0" applyNumberFormat="1" applyFont="1" applyFill="1" applyBorder="1" applyAlignment="1">
      <alignment horizontal="center"/>
    </xf>
    <xf numFmtId="170" fontId="1" fillId="0" borderId="0" xfId="1" applyNumberFormat="1" applyFont="1" applyFill="1" applyAlignment="1"/>
    <xf numFmtId="0" fontId="1" fillId="0" borderId="4" xfId="0" applyNumberFormat="1" applyFont="1" applyFill="1" applyBorder="1" applyAlignment="1"/>
    <xf numFmtId="179" fontId="39" fillId="0" borderId="6" xfId="1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right"/>
    </xf>
    <xf numFmtId="0" fontId="1" fillId="0" borderId="0" xfId="0" quotePrefix="1" applyFont="1" applyFill="1"/>
    <xf numFmtId="171" fontId="1" fillId="0" borderId="0" xfId="0" quotePrefix="1" applyNumberFormat="1" applyFont="1" applyFill="1"/>
    <xf numFmtId="0" fontId="1" fillId="0" borderId="0" xfId="0" quotePrefix="1" applyFont="1" applyFill="1" applyAlignment="1">
      <alignment horizontal="left"/>
    </xf>
    <xf numFmtId="176" fontId="39" fillId="0" borderId="0" xfId="2" applyNumberFormat="1" applyFont="1" applyAlignment="1"/>
    <xf numFmtId="10" fontId="1" fillId="0" borderId="0" xfId="13" applyNumberFormat="1" applyFont="1" applyFill="1"/>
    <xf numFmtId="171" fontId="1" fillId="0" borderId="0" xfId="0" applyNumberFormat="1" applyFont="1" applyFill="1" applyBorder="1" applyAlignment="1"/>
    <xf numFmtId="179" fontId="39" fillId="0" borderId="2" xfId="1" applyNumberFormat="1" applyFont="1" applyFill="1" applyBorder="1" applyAlignment="1"/>
    <xf numFmtId="176" fontId="45" fillId="0" borderId="6" xfId="2" applyNumberFormat="1" applyFont="1" applyFill="1" applyBorder="1" applyAlignment="1"/>
    <xf numFmtId="17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4" xfId="0" quotePrefix="1" applyNumberFormat="1" applyFont="1" applyBorder="1" applyAlignment="1">
      <alignment horizontal="center"/>
    </xf>
    <xf numFmtId="3" fontId="3" fillId="0" borderId="0" xfId="0" quotePrefix="1" applyNumberFormat="1" applyFont="1" applyAlignme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39" fillId="0" borderId="0" xfId="1" applyNumberFormat="1" applyFont="1" applyFill="1" applyAlignment="1"/>
    <xf numFmtId="3" fontId="38" fillId="0" borderId="0" xfId="0" applyNumberFormat="1" applyFont="1" applyFill="1" applyBorder="1" applyAlignment="1">
      <alignment horizontal="center"/>
    </xf>
    <xf numFmtId="171" fontId="1" fillId="0" borderId="4" xfId="1" applyNumberFormat="1" applyFont="1" applyFill="1" applyBorder="1" applyAlignment="1">
      <alignment horizontal="center"/>
    </xf>
    <xf numFmtId="171" fontId="1" fillId="0" borderId="4" xfId="0" applyNumberFormat="1" applyFont="1" applyBorder="1" applyAlignment="1"/>
    <xf numFmtId="43" fontId="39" fillId="3" borderId="0" xfId="1" applyNumberFormat="1" applyFont="1" applyFill="1" applyAlignment="1"/>
    <xf numFmtId="0" fontId="1" fillId="6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39" fillId="0" borderId="4" xfId="0" applyNumberFormat="1" applyFont="1" applyBorder="1" applyAlignment="1"/>
    <xf numFmtId="176" fontId="39" fillId="0" borderId="6" xfId="2" applyNumberFormat="1" applyFont="1" applyBorder="1" applyAlignment="1"/>
    <xf numFmtId="0" fontId="39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Continuous"/>
    </xf>
    <xf numFmtId="3" fontId="35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/>
    <xf numFmtId="3" fontId="11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 applyProtection="1">
      <alignment horizontal="centerContinuous"/>
      <protection locked="0"/>
    </xf>
    <xf numFmtId="3" fontId="1" fillId="0" borderId="4" xfId="0" applyNumberFormat="1" applyFont="1" applyFill="1" applyBorder="1" applyAlignment="1">
      <alignment horizontal="centerContinuous"/>
    </xf>
    <xf numFmtId="3" fontId="10" fillId="0" borderId="0" xfId="0" applyNumberFormat="1" applyFont="1" applyFill="1" applyAlignment="1"/>
    <xf numFmtId="3" fontId="1" fillId="0" borderId="0" xfId="0" applyNumberFormat="1" applyFont="1" applyFill="1" applyBorder="1" applyAlignment="1"/>
    <xf numFmtId="176" fontId="1" fillId="0" borderId="0" xfId="2" applyNumberFormat="1" applyFont="1" applyFill="1" applyAlignment="1"/>
    <xf numFmtId="173" fontId="1" fillId="0" borderId="0" xfId="0" applyNumberFormat="1" applyFont="1" applyFill="1" applyBorder="1" applyAlignment="1"/>
    <xf numFmtId="173" fontId="1" fillId="0" borderId="0" xfId="0" applyNumberFormat="1" applyFont="1" applyFill="1" applyAlignment="1"/>
    <xf numFmtId="173" fontId="1" fillId="0" borderId="4" xfId="0" applyNumberFormat="1" applyFont="1" applyFill="1" applyBorder="1" applyAlignment="1"/>
    <xf numFmtId="3" fontId="1" fillId="0" borderId="3" xfId="0" applyNumberFormat="1" applyFont="1" applyFill="1" applyBorder="1" applyAlignment="1"/>
    <xf numFmtId="37" fontId="1" fillId="0" borderId="0" xfId="0" applyNumberFormat="1" applyFont="1" applyFill="1" applyAlignment="1"/>
    <xf numFmtId="167" fontId="1" fillId="0" borderId="6" xfId="0" applyNumberFormat="1" applyFont="1" applyFill="1" applyBorder="1" applyAlignment="1"/>
    <xf numFmtId="166" fontId="1" fillId="0" borderId="0" xfId="0" applyNumberFormat="1" applyFont="1" applyFill="1" applyAlignment="1"/>
    <xf numFmtId="166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44" fontId="1" fillId="0" borderId="0" xfId="2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NumberFormat="1" applyFont="1" applyAlignment="1">
      <alignment horizontal="centerContinuous"/>
    </xf>
    <xf numFmtId="0" fontId="0" fillId="0" borderId="0" xfId="0" applyNumberFormat="1" applyFont="1" applyAlignment="1" applyProtection="1">
      <protection locked="0"/>
    </xf>
    <xf numFmtId="0" fontId="47" fillId="0" borderId="0" xfId="0" applyNumberFormat="1" applyFont="1" applyAlignment="1"/>
    <xf numFmtId="0" fontId="18" fillId="0" borderId="0" xfId="0" applyNumberFormat="1" applyFont="1" applyAlignment="1"/>
    <xf numFmtId="0" fontId="48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48" fillId="0" borderId="0" xfId="0" applyNumberFormat="1" applyFont="1" applyFill="1" applyAlignment="1">
      <alignment horizontal="centerContinuous"/>
    </xf>
    <xf numFmtId="3" fontId="48" fillId="0" borderId="0" xfId="0" applyNumberFormat="1" applyFont="1" applyAlignment="1">
      <alignment horizontal="centerContinuous"/>
    </xf>
    <xf numFmtId="180" fontId="48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81" fontId="48" fillId="0" borderId="0" xfId="0" applyNumberFormat="1" applyFont="1" applyAlignment="1">
      <alignment horizontal="centerContinuous"/>
    </xf>
    <xf numFmtId="0" fontId="47" fillId="0" borderId="0" xfId="0" applyNumberFormat="1" applyFont="1" applyFill="1" applyAlignment="1">
      <alignment horizontal="centerContinuous"/>
    </xf>
    <xf numFmtId="0" fontId="47" fillId="0" borderId="0" xfId="0" applyNumberFormat="1" applyFont="1" applyFill="1" applyBorder="1" applyAlignment="1">
      <alignment horizontal="centerContinuous"/>
    </xf>
    <xf numFmtId="0" fontId="48" fillId="0" borderId="0" xfId="0" applyNumberFormat="1" applyFont="1" applyAlignment="1"/>
    <xf numFmtId="0" fontId="0" fillId="0" borderId="0" xfId="0" applyNumberFormat="1" applyFont="1" applyFill="1" applyAlignment="1"/>
    <xf numFmtId="0" fontId="48" fillId="0" borderId="0" xfId="0" applyNumberFormat="1" applyFont="1" applyFill="1" applyAlignment="1"/>
    <xf numFmtId="3" fontId="48" fillId="0" borderId="0" xfId="0" applyNumberFormat="1" applyFont="1" applyAlignment="1"/>
    <xf numFmtId="180" fontId="48" fillId="0" borderId="0" xfId="0" applyNumberFormat="1" applyFont="1" applyAlignment="1"/>
    <xf numFmtId="3" fontId="0" fillId="0" borderId="0" xfId="0" applyNumberFormat="1" applyFont="1" applyAlignment="1"/>
    <xf numFmtId="181" fontId="48" fillId="0" borderId="0" xfId="0" applyNumberFormat="1" applyFont="1" applyAlignment="1"/>
    <xf numFmtId="0" fontId="49" fillId="0" borderId="0" xfId="0" applyNumberFormat="1" applyFont="1" applyAlignment="1"/>
    <xf numFmtId="0" fontId="18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/>
    <xf numFmtId="3" fontId="49" fillId="0" borderId="0" xfId="0" applyNumberFormat="1" applyFont="1" applyAlignment="1"/>
    <xf numFmtId="3" fontId="49" fillId="0" borderId="0" xfId="0" applyNumberFormat="1" applyFont="1" applyAlignment="1">
      <alignment horizontal="center"/>
    </xf>
    <xf numFmtId="180" fontId="18" fillId="0" borderId="0" xfId="0" applyNumberFormat="1" applyFont="1" applyBorder="1" applyAlignment="1">
      <alignment horizontal="centerContinuous"/>
    </xf>
    <xf numFmtId="3" fontId="49" fillId="0" borderId="0" xfId="0" applyNumberFormat="1" applyFont="1" applyBorder="1" applyAlignment="1">
      <alignment horizontal="centerContinuous"/>
    </xf>
    <xf numFmtId="3" fontId="18" fillId="0" borderId="0" xfId="0" applyNumberFormat="1" applyFont="1" applyBorder="1" applyAlignment="1">
      <alignment horizontal="centerContinuous"/>
    </xf>
    <xf numFmtId="0" fontId="49" fillId="0" borderId="0" xfId="0" applyNumberFormat="1" applyFont="1" applyAlignment="1">
      <alignment horizontal="center"/>
    </xf>
    <xf numFmtId="181" fontId="49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18" fillId="0" borderId="0" xfId="0" applyNumberFormat="1" applyFont="1" applyFill="1" applyAlignment="1">
      <alignment horizontal="centerContinuous"/>
    </xf>
    <xf numFmtId="180" fontId="18" fillId="0" borderId="4" xfId="0" applyNumberFormat="1" applyFont="1" applyBorder="1" applyAlignment="1">
      <alignment horizontal="centerContinuous"/>
    </xf>
    <xf numFmtId="3" fontId="49" fillId="0" borderId="4" xfId="0" applyNumberFormat="1" applyFont="1" applyBorder="1" applyAlignment="1">
      <alignment horizontal="centerContinuous"/>
    </xf>
    <xf numFmtId="3" fontId="18" fillId="0" borderId="4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Continuous"/>
    </xf>
    <xf numFmtId="0" fontId="18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18" fillId="0" borderId="4" xfId="0" applyNumberFormat="1" applyFont="1" applyFill="1" applyBorder="1" applyAlignment="1">
      <alignment horizontal="centerContinuous"/>
    </xf>
    <xf numFmtId="180" fontId="18" fillId="0" borderId="0" xfId="0" applyNumberFormat="1" applyFont="1" applyAlignment="1">
      <alignment horizontal="centerContinuous"/>
    </xf>
    <xf numFmtId="3" fontId="18" fillId="0" borderId="0" xfId="0" applyNumberFormat="1" applyFont="1" applyAlignment="1">
      <alignment horizontal="center"/>
    </xf>
    <xf numFmtId="181" fontId="49" fillId="0" borderId="13" xfId="0" applyNumberFormat="1" applyFont="1" applyBorder="1" applyAlignment="1">
      <alignment horizontal="center"/>
    </xf>
    <xf numFmtId="0" fontId="18" fillId="0" borderId="8" xfId="0" quotePrefix="1" applyNumberFormat="1" applyFont="1" applyBorder="1" applyAlignment="1">
      <alignment horizontal="centerContinuous"/>
    </xf>
    <xf numFmtId="37" fontId="49" fillId="0" borderId="2" xfId="0" quotePrefix="1" applyNumberFormat="1" applyFont="1" applyBorder="1" applyAlignment="1">
      <alignment horizontal="center"/>
    </xf>
    <xf numFmtId="37" fontId="49" fillId="0" borderId="2" xfId="0" quotePrefix="1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 applyProtection="1">
      <protection locked="0"/>
    </xf>
    <xf numFmtId="18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>
      <alignment horizontal="center"/>
    </xf>
    <xf numFmtId="181" fontId="0" fillId="0" borderId="0" xfId="0" applyNumberFormat="1" applyFont="1" applyAlignment="1" applyProtection="1">
      <protection locked="0"/>
    </xf>
    <xf numFmtId="0" fontId="51" fillId="0" borderId="0" xfId="0" applyNumberFormat="1" applyFont="1" applyAlignment="1"/>
    <xf numFmtId="0" fontId="6" fillId="0" borderId="0" xfId="0" applyNumberFormat="1" applyFont="1" applyFill="1" applyAlignment="1"/>
    <xf numFmtId="3" fontId="0" fillId="0" borderId="0" xfId="0" applyNumberFormat="1" applyFill="1"/>
    <xf numFmtId="43" fontId="0" fillId="0" borderId="0" xfId="1" applyFont="1" applyAlignment="1" applyProtection="1">
      <protection locked="0"/>
    </xf>
    <xf numFmtId="0" fontId="6" fillId="0" borderId="0" xfId="15" applyNumberFormat="1" applyFont="1" applyAlignment="1">
      <alignment horizontal="left"/>
    </xf>
    <xf numFmtId="0" fontId="6" fillId="0" borderId="0" xfId="15" applyNumberFormat="1" applyFont="1" applyAlignment="1"/>
    <xf numFmtId="37" fontId="6" fillId="0" borderId="0" xfId="15" applyNumberFormat="1" applyFont="1" applyAlignment="1"/>
    <xf numFmtId="43" fontId="3" fillId="0" borderId="0" xfId="1" applyFont="1" applyAlignment="1">
      <alignment horizontal="right" indent="1"/>
    </xf>
    <xf numFmtId="165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182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0" fontId="0" fillId="0" borderId="0" xfId="0" quotePrefix="1" applyNumberFormat="1" applyFont="1" applyFill="1" applyAlignment="1">
      <alignment horizontal="right"/>
    </xf>
    <xf numFmtId="37" fontId="49" fillId="0" borderId="8" xfId="15" applyNumberFormat="1" applyFont="1" applyFill="1" applyBorder="1" applyAlignment="1"/>
    <xf numFmtId="43" fontId="18" fillId="0" borderId="0" xfId="1" applyFont="1" applyAlignment="1">
      <alignment horizontal="right" indent="1"/>
    </xf>
    <xf numFmtId="165" fontId="18" fillId="0" borderId="0" xfId="0" applyNumberFormat="1" applyFont="1" applyAlignment="1">
      <alignment horizontal="center"/>
    </xf>
    <xf numFmtId="43" fontId="0" fillId="0" borderId="0" xfId="1" applyFont="1" applyAlignment="1">
      <alignment horizontal="right" indent="1"/>
    </xf>
    <xf numFmtId="0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43" fontId="0" fillId="0" borderId="0" xfId="1" applyFont="1" applyAlignment="1">
      <alignment horizontal="right"/>
    </xf>
    <xf numFmtId="181" fontId="0" fillId="0" borderId="0" xfId="0" applyNumberFormat="1"/>
    <xf numFmtId="43" fontId="0" fillId="0" borderId="0" xfId="1" applyFont="1" applyAlignment="1">
      <alignment horizontal="right" indent="2"/>
    </xf>
    <xf numFmtId="165" fontId="0" fillId="0" borderId="0" xfId="0" applyNumberFormat="1" applyAlignment="1">
      <alignment horizontal="center"/>
    </xf>
    <xf numFmtId="43" fontId="0" fillId="0" borderId="0" xfId="1" applyFont="1" applyFill="1" applyAlignment="1">
      <alignment horizontal="right" indent="2"/>
    </xf>
    <xf numFmtId="165" fontId="0" fillId="0" borderId="0" xfId="0" applyNumberFormat="1" applyFill="1" applyAlignment="1">
      <alignment horizontal="center"/>
    </xf>
    <xf numFmtId="168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/>
    <xf numFmtId="168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indent="2"/>
    </xf>
    <xf numFmtId="0" fontId="6" fillId="0" borderId="0" xfId="0" applyNumberFormat="1" applyFont="1" applyFill="1" applyBorder="1" applyAlignment="1"/>
    <xf numFmtId="0" fontId="52" fillId="0" borderId="0" xfId="0" applyNumberFormat="1" applyFont="1" applyFill="1" applyBorder="1" applyAlignment="1"/>
    <xf numFmtId="0" fontId="3" fillId="0" borderId="0" xfId="0" applyFont="1" applyFill="1" applyAlignment="1">
      <alignment horizontal="centerContinuous"/>
    </xf>
    <xf numFmtId="43" fontId="3" fillId="0" borderId="0" xfId="1" applyFont="1" applyFill="1" applyAlignment="1">
      <alignment horizontal="centerContinuous"/>
    </xf>
    <xf numFmtId="37" fontId="52" fillId="0" borderId="8" xfId="15" applyNumberFormat="1" applyFont="1" applyFill="1" applyBorder="1" applyAlignment="1"/>
    <xf numFmtId="3" fontId="3" fillId="0" borderId="0" xfId="0" applyNumberFormat="1" applyFont="1" applyFill="1"/>
    <xf numFmtId="43" fontId="53" fillId="0" borderId="0" xfId="1" applyFont="1" applyAlignment="1">
      <alignment horizontal="right" indent="1"/>
    </xf>
    <xf numFmtId="0" fontId="3" fillId="0" borderId="0" xfId="0" applyNumberFormat="1" applyFont="1" applyFill="1" applyAlignment="1">
      <alignment horizontal="center"/>
    </xf>
    <xf numFmtId="165" fontId="53" fillId="0" borderId="0" xfId="0" applyNumberFormat="1" applyFont="1" applyAlignment="1">
      <alignment horizontal="center"/>
    </xf>
    <xf numFmtId="171" fontId="3" fillId="0" borderId="0" xfId="1" applyNumberFormat="1" applyFont="1" applyBorder="1"/>
    <xf numFmtId="0" fontId="3" fillId="0" borderId="0" xfId="0" applyNumberFormat="1" applyFont="1" applyFill="1" applyAlignment="1">
      <alignment horizontal="centerContinuous"/>
    </xf>
    <xf numFmtId="0" fontId="0" fillId="0" borderId="0" xfId="0" quotePrefix="1" applyNumberFormat="1" applyFont="1" applyFill="1" applyAlignment="1">
      <alignment horizontal="centerContinuous"/>
    </xf>
    <xf numFmtId="0" fontId="52" fillId="0" borderId="0" xfId="0" applyNumberFormat="1" applyFont="1" applyBorder="1" applyAlignment="1"/>
    <xf numFmtId="0" fontId="6" fillId="0" borderId="0" xfId="0" applyNumberFormat="1" applyFont="1" applyFill="1" applyAlignment="1">
      <alignment horizontal="left"/>
    </xf>
    <xf numFmtId="0" fontId="54" fillId="0" borderId="0" xfId="0" applyFont="1" applyFill="1"/>
    <xf numFmtId="0" fontId="0" fillId="0" borderId="0" xfId="0" applyNumberFormat="1" applyFont="1" applyAlignment="1">
      <alignment horizontal="left"/>
    </xf>
    <xf numFmtId="3" fontId="6" fillId="0" borderId="8" xfId="0" applyNumberFormat="1" applyFont="1" applyBorder="1" applyAlignment="1"/>
    <xf numFmtId="0" fontId="0" fillId="0" borderId="0" xfId="0" applyNumberFormat="1" applyFont="1" applyBorder="1" applyAlignment="1" applyProtection="1">
      <protection locked="0"/>
    </xf>
    <xf numFmtId="43" fontId="0" fillId="0" borderId="0" xfId="1" applyFont="1" applyBorder="1" applyAlignment="1">
      <alignment horizontal="right" indent="2"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37" fontId="49" fillId="0" borderId="6" xfId="15" applyNumberFormat="1" applyFont="1" applyFill="1" applyBorder="1" applyAlignment="1"/>
    <xf numFmtId="3" fontId="0" fillId="0" borderId="3" xfId="0" applyNumberFormat="1" applyBorder="1"/>
    <xf numFmtId="3" fontId="0" fillId="0" borderId="3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3" fontId="18" fillId="0" borderId="8" xfId="0" applyNumberFormat="1" applyFont="1" applyBorder="1" applyAlignment="1"/>
    <xf numFmtId="0" fontId="5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4" fontId="18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Alignment="1"/>
    <xf numFmtId="37" fontId="6" fillId="0" borderId="0" xfId="15" applyNumberFormat="1" applyFont="1" applyFill="1" applyAlignment="1"/>
    <xf numFmtId="0" fontId="54" fillId="0" borderId="0" xfId="0" applyNumberFormat="1" applyFont="1" applyFill="1" applyAlignment="1">
      <alignment horizontal="left"/>
    </xf>
    <xf numFmtId="0" fontId="54" fillId="0" borderId="0" xfId="0" applyNumberFormat="1" applyFont="1" applyFill="1" applyAlignment="1"/>
    <xf numFmtId="0" fontId="3" fillId="0" borderId="0" xfId="14" applyNumberFormat="1" applyFont="1" applyFill="1" applyAlignment="1">
      <alignment horizontal="left"/>
    </xf>
    <xf numFmtId="0" fontId="3" fillId="0" borderId="0" xfId="14" applyNumberFormat="1" applyFont="1" applyFill="1" applyAlignment="1" applyProtection="1">
      <protection locked="0"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/>
    <xf numFmtId="0" fontId="18" fillId="0" borderId="0" xfId="0" applyNumberFormat="1" applyFont="1" applyFill="1" applyAlignment="1"/>
    <xf numFmtId="37" fontId="49" fillId="0" borderId="0" xfId="15" applyNumberFormat="1" applyFont="1" applyFill="1" applyAlignment="1"/>
    <xf numFmtId="43" fontId="49" fillId="0" borderId="0" xfId="1" applyFont="1" applyFill="1" applyAlignment="1"/>
    <xf numFmtId="0" fontId="0" fillId="0" borderId="0" xfId="0" applyNumberFormat="1" applyFill="1" applyAlignment="1"/>
    <xf numFmtId="3" fontId="0" fillId="0" borderId="0" xfId="0" applyNumberFormat="1" applyFont="1" applyBorder="1" applyAlignment="1"/>
    <xf numFmtId="43" fontId="0" fillId="0" borderId="0" xfId="1" applyFont="1" applyBorder="1" applyAlignment="1">
      <alignment horizontal="right" indent="1"/>
    </xf>
    <xf numFmtId="0" fontId="18" fillId="0" borderId="0" xfId="0" applyNumberFormat="1" applyFont="1" applyBorder="1" applyAlignment="1"/>
    <xf numFmtId="43" fontId="18" fillId="0" borderId="0" xfId="1" applyFont="1" applyBorder="1" applyAlignment="1">
      <alignment horizontal="right" indent="1"/>
    </xf>
    <xf numFmtId="184" fontId="18" fillId="0" borderId="0" xfId="0" applyNumberFormat="1" applyFont="1" applyAlignment="1"/>
    <xf numFmtId="168" fontId="6" fillId="0" borderId="0" xfId="0" applyNumberFormat="1" applyFont="1" applyFill="1" applyAlignment="1">
      <alignment horizontal="left"/>
    </xf>
    <xf numFmtId="37" fontId="18" fillId="0" borderId="0" xfId="0" applyNumberFormat="1" applyFont="1" applyAlignment="1" applyProtection="1">
      <protection locked="0"/>
    </xf>
    <xf numFmtId="37" fontId="49" fillId="0" borderId="0" xfId="15" applyNumberFormat="1" applyFont="1" applyFill="1" applyBorder="1" applyAlignment="1"/>
    <xf numFmtId="0" fontId="0" fillId="0" borderId="8" xfId="0" applyNumberFormat="1" applyFont="1" applyBorder="1" applyAlignment="1" applyProtection="1">
      <protection locked="0"/>
    </xf>
    <xf numFmtId="37" fontId="18" fillId="0" borderId="6" xfId="0" applyNumberFormat="1" applyFont="1" applyBorder="1" applyAlignment="1" applyProtection="1">
      <protection locked="0"/>
    </xf>
    <xf numFmtId="0" fontId="55" fillId="0" borderId="0" xfId="0" applyNumberFormat="1" applyFont="1" applyAlignment="1" applyProtection="1">
      <protection locked="0"/>
    </xf>
    <xf numFmtId="37" fontId="52" fillId="0" borderId="0" xfId="15" applyNumberFormat="1" applyFont="1" applyFill="1" applyBorder="1" applyAlignment="1"/>
    <xf numFmtId="0" fontId="3" fillId="0" borderId="8" xfId="0" applyNumberFormat="1" applyFont="1" applyBorder="1" applyAlignment="1"/>
    <xf numFmtId="0" fontId="3" fillId="0" borderId="0" xfId="16" applyNumberFormat="1" applyFont="1" applyAlignment="1"/>
    <xf numFmtId="183" fontId="0" fillId="0" borderId="0" xfId="0" applyNumberFormat="1" applyAlignment="1">
      <alignment horizontal="right" indent="2"/>
    </xf>
    <xf numFmtId="180" fontId="0" fillId="0" borderId="0" xfId="0" applyNumberFormat="1"/>
    <xf numFmtId="0" fontId="11" fillId="0" borderId="0" xfId="0" applyFont="1" applyAlignment="1">
      <alignment horizontal="left"/>
    </xf>
    <xf numFmtId="0" fontId="18" fillId="0" borderId="0" xfId="0" applyNumberFormat="1" applyFont="1" applyAlignment="1">
      <alignment horizontal="centerContinuous"/>
    </xf>
    <xf numFmtId="37" fontId="18" fillId="0" borderId="2" xfId="0" quotePrefix="1" applyNumberFormat="1" applyFont="1" applyBorder="1" applyAlignment="1">
      <alignment horizontal="center"/>
    </xf>
    <xf numFmtId="37" fontId="3" fillId="0" borderId="0" xfId="15" applyNumberFormat="1" applyFont="1" applyAlignment="1"/>
    <xf numFmtId="37" fontId="18" fillId="0" borderId="8" xfId="15" applyNumberFormat="1" applyFont="1" applyFill="1" applyBorder="1" applyAlignment="1"/>
    <xf numFmtId="0" fontId="1" fillId="0" borderId="0" xfId="0" applyNumberFormat="1" applyFont="1" applyFill="1" applyAlignment="1" applyProtection="1">
      <protection locked="0"/>
    </xf>
    <xf numFmtId="37" fontId="53" fillId="0" borderId="8" xfId="15" applyNumberFormat="1" applyFont="1" applyFill="1" applyBorder="1" applyAlignment="1"/>
    <xf numFmtId="3" fontId="3" fillId="0" borderId="8" xfId="0" applyNumberFormat="1" applyFont="1" applyBorder="1" applyAlignment="1"/>
    <xf numFmtId="37" fontId="18" fillId="0" borderId="6" xfId="15" applyNumberFormat="1" applyFont="1" applyFill="1" applyBorder="1" applyAlignment="1"/>
    <xf numFmtId="37" fontId="18" fillId="0" borderId="0" xfId="15" applyNumberFormat="1" applyFont="1" applyFill="1" applyAlignment="1"/>
    <xf numFmtId="37" fontId="3" fillId="0" borderId="0" xfId="15" applyNumberFormat="1" applyFont="1" applyFill="1" applyAlignment="1"/>
    <xf numFmtId="0" fontId="1" fillId="0" borderId="8" xfId="0" applyNumberFormat="1" applyFont="1" applyBorder="1" applyAlignment="1" applyProtection="1">
      <protection locked="0"/>
    </xf>
    <xf numFmtId="37" fontId="18" fillId="0" borderId="0" xfId="15" applyNumberFormat="1" applyFont="1" applyFill="1" applyBorder="1" applyAlignment="1"/>
    <xf numFmtId="0" fontId="1" fillId="0" borderId="0" xfId="0" applyNumberFormat="1" applyFont="1" applyBorder="1"/>
    <xf numFmtId="42" fontId="1" fillId="0" borderId="0" xfId="0" applyNumberFormat="1" applyFont="1" applyAlignment="1" applyProtection="1">
      <protection locked="0"/>
    </xf>
    <xf numFmtId="37" fontId="3" fillId="6" borderId="0" xfId="15" applyNumberFormat="1" applyFont="1" applyFill="1" applyAlignment="1"/>
    <xf numFmtId="3" fontId="1" fillId="0" borderId="0" xfId="0" applyNumberFormat="1" applyFont="1"/>
    <xf numFmtId="1" fontId="35" fillId="0" borderId="0" xfId="0" applyNumberFormat="1" applyFont="1" applyBorder="1"/>
    <xf numFmtId="37" fontId="56" fillId="0" borderId="0" xfId="5" applyFont="1"/>
    <xf numFmtId="37" fontId="46" fillId="0" borderId="0" xfId="5" applyNumberFormat="1" applyFont="1" applyAlignment="1" applyProtection="1">
      <alignment horizontal="center"/>
    </xf>
    <xf numFmtId="0" fontId="37" fillId="0" borderId="0" xfId="0" applyFont="1" applyFill="1"/>
    <xf numFmtId="37" fontId="37" fillId="0" borderId="0" xfId="5" applyFont="1" applyFill="1"/>
    <xf numFmtId="37" fontId="37" fillId="0" borderId="0" xfId="5" applyNumberFormat="1" applyFont="1" applyFill="1" applyProtection="1"/>
    <xf numFmtId="37" fontId="56" fillId="0" borderId="0" xfId="5" applyFont="1" applyFill="1" applyProtection="1"/>
    <xf numFmtId="171" fontId="37" fillId="0" borderId="0" xfId="1" applyNumberFormat="1" applyFont="1"/>
    <xf numFmtId="37" fontId="37" fillId="0" borderId="0" xfId="5" applyNumberFormat="1" applyFont="1" applyProtection="1"/>
    <xf numFmtId="37" fontId="37" fillId="0" borderId="0" xfId="5" applyNumberFormat="1" applyFont="1" applyFill="1" applyAlignment="1" applyProtection="1">
      <alignment horizontal="center"/>
    </xf>
    <xf numFmtId="37" fontId="37" fillId="0" borderId="0" xfId="5" applyFont="1" applyFill="1" applyAlignment="1">
      <alignment horizontal="center"/>
    </xf>
    <xf numFmtId="37" fontId="37" fillId="0" borderId="0" xfId="5" applyNumberFormat="1" applyFont="1" applyFill="1" applyProtection="1">
      <protection locked="0"/>
    </xf>
    <xf numFmtId="37" fontId="46" fillId="0" borderId="4" xfId="5" applyNumberFormat="1" applyFont="1" applyFill="1" applyBorder="1" applyAlignment="1" applyProtection="1">
      <alignment horizontal="center"/>
      <protection locked="0"/>
    </xf>
    <xf numFmtId="37" fontId="57" fillId="0" borderId="4" xfId="5" applyFont="1" applyFill="1" applyBorder="1" applyAlignment="1" applyProtection="1">
      <alignment horizontal="center"/>
    </xf>
    <xf numFmtId="37" fontId="56" fillId="0" borderId="0" xfId="5" applyNumberFormat="1" applyFont="1" applyProtection="1"/>
    <xf numFmtId="37" fontId="37" fillId="0" borderId="0" xfId="5" applyFont="1" applyFill="1" applyProtection="1"/>
    <xf numFmtId="37" fontId="37" fillId="0" borderId="0" xfId="5" applyNumberFormat="1" applyFont="1" applyAlignment="1" applyProtection="1">
      <alignment horizontal="center"/>
    </xf>
    <xf numFmtId="37" fontId="37" fillId="0" borderId="5" xfId="5" applyNumberFormat="1" applyFont="1" applyFill="1" applyBorder="1" applyProtection="1">
      <protection locked="0"/>
    </xf>
    <xf numFmtId="0" fontId="37" fillId="0" borderId="0" xfId="0" applyFont="1" applyFill="1" applyAlignment="1">
      <alignment horizontal="center"/>
    </xf>
    <xf numFmtId="37" fontId="57" fillId="0" borderId="0" xfId="5" applyFont="1" applyFill="1" applyProtection="1"/>
    <xf numFmtId="37" fontId="46" fillId="0" borderId="0" xfId="5" applyNumberFormat="1" applyFont="1" applyFill="1" applyProtection="1"/>
    <xf numFmtId="0" fontId="37" fillId="0" borderId="0" xfId="0" applyFont="1" applyFill="1" applyBorder="1" applyAlignment="1">
      <alignment horizontal="center"/>
    </xf>
    <xf numFmtId="0" fontId="37" fillId="0" borderId="0" xfId="1" applyNumberFormat="1" applyFont="1" applyFill="1" applyBorder="1" applyAlignment="1">
      <alignment horizontal="center"/>
    </xf>
    <xf numFmtId="37" fontId="37" fillId="0" borderId="5" xfId="0" applyNumberFormat="1" applyFont="1" applyBorder="1"/>
    <xf numFmtId="0" fontId="37" fillId="0" borderId="0" xfId="0" applyFont="1" applyAlignment="1">
      <alignment horizontal="center"/>
    </xf>
    <xf numFmtId="37" fontId="37" fillId="0" borderId="0" xfId="0" applyNumberFormat="1" applyFont="1" applyFill="1"/>
    <xf numFmtId="171" fontId="37" fillId="0" borderId="0" xfId="1" applyNumberFormat="1" applyFont="1" applyFill="1" applyProtection="1"/>
    <xf numFmtId="171" fontId="37" fillId="0" borderId="4" xfId="1" applyNumberFormat="1" applyFont="1" applyFill="1" applyBorder="1" applyProtection="1"/>
    <xf numFmtId="0" fontId="37" fillId="0" borderId="0" xfId="0" applyFont="1" applyFill="1" applyBorder="1"/>
    <xf numFmtId="171" fontId="37" fillId="0" borderId="0" xfId="1" applyNumberFormat="1" applyFont="1" applyFill="1" applyBorder="1"/>
    <xf numFmtId="171" fontId="37" fillId="0" borderId="0" xfId="1" applyNumberFormat="1" applyFont="1" applyFill="1"/>
    <xf numFmtId="37" fontId="37" fillId="0" borderId="0" xfId="5" applyNumberFormat="1" applyFont="1" applyFill="1" applyBorder="1" applyProtection="1">
      <protection locked="0"/>
    </xf>
    <xf numFmtId="37" fontId="37" fillId="0" borderId="0" xfId="0" applyNumberFormat="1" applyFont="1"/>
    <xf numFmtId="37" fontId="37" fillId="0" borderId="5" xfId="5" applyNumberFormat="1" applyFont="1" applyFill="1" applyBorder="1" applyProtection="1"/>
    <xf numFmtId="37" fontId="56" fillId="0" borderId="0" xfId="5" applyFont="1" applyFill="1"/>
    <xf numFmtId="37" fontId="37" fillId="0" borderId="0" xfId="5" quotePrefix="1" applyFont="1" applyFill="1" applyAlignment="1">
      <alignment horizontal="center"/>
    </xf>
    <xf numFmtId="37" fontId="56" fillId="0" borderId="0" xfId="5" applyFont="1" applyFill="1" applyAlignment="1">
      <alignment horizontal="center"/>
    </xf>
    <xf numFmtId="37" fontId="37" fillId="0" borderId="0" xfId="4" applyFont="1" applyFill="1" applyAlignment="1">
      <alignment horizontal="center"/>
    </xf>
    <xf numFmtId="3" fontId="37" fillId="0" borderId="0" xfId="5" quotePrefix="1" applyNumberFormat="1" applyFont="1" applyFill="1" applyAlignment="1">
      <alignment horizontal="center"/>
    </xf>
    <xf numFmtId="37" fontId="56" fillId="0" borderId="0" xfId="5" applyNumberFormat="1" applyFont="1" applyFill="1" applyProtection="1">
      <protection locked="0"/>
    </xf>
    <xf numFmtId="37" fontId="56" fillId="0" borderId="0" xfId="5" applyFont="1" applyFill="1" applyBorder="1"/>
    <xf numFmtId="37" fontId="37" fillId="0" borderId="0" xfId="5" applyNumberFormat="1" applyFont="1" applyFill="1" applyBorder="1" applyProtection="1"/>
    <xf numFmtId="37" fontId="37" fillId="0" borderId="0" xfId="5" applyNumberFormat="1" applyFont="1" applyFill="1" applyBorder="1" applyAlignment="1" applyProtection="1">
      <alignment horizontal="center"/>
    </xf>
    <xf numFmtId="37" fontId="37" fillId="0" borderId="0" xfId="0" applyNumberFormat="1" applyFont="1" applyFill="1" applyBorder="1"/>
    <xf numFmtId="37" fontId="56" fillId="0" borderId="0" xfId="5" applyFont="1" applyFill="1" applyBorder="1" applyAlignment="1">
      <alignment horizontal="center"/>
    </xf>
    <xf numFmtId="37" fontId="37" fillId="0" borderId="0" xfId="5" applyFont="1" applyFill="1" applyBorder="1" applyProtection="1"/>
    <xf numFmtId="168" fontId="37" fillId="0" borderId="0" xfId="0" applyNumberFormat="1" applyFont="1" applyBorder="1" applyAlignment="1">
      <alignment horizontal="center"/>
    </xf>
    <xf numFmtId="37" fontId="56" fillId="0" borderId="0" xfId="5" applyFont="1" applyFill="1" applyBorder="1" applyAlignment="1">
      <alignment horizontal="right"/>
    </xf>
    <xf numFmtId="37" fontId="37" fillId="6" borderId="0" xfId="0" applyNumberFormat="1" applyFont="1" applyFill="1" applyBorder="1"/>
    <xf numFmtId="37" fontId="37" fillId="6" borderId="0" xfId="5" applyFont="1" applyFill="1" applyBorder="1" applyProtection="1"/>
    <xf numFmtId="37" fontId="37" fillId="0" borderId="0" xfId="0" applyNumberFormat="1" applyFont="1" applyFill="1" applyBorder="1" applyAlignment="1">
      <alignment horizontal="center"/>
    </xf>
    <xf numFmtId="171" fontId="37" fillId="0" borderId="0" xfId="1" applyNumberFormat="1" applyFont="1" applyFill="1" applyBorder="1" applyProtection="1">
      <protection locked="0"/>
    </xf>
    <xf numFmtId="10" fontId="37" fillId="0" borderId="0" xfId="13" applyNumberFormat="1" applyFont="1" applyFill="1" applyBorder="1"/>
    <xf numFmtId="37" fontId="37" fillId="0" borderId="0" xfId="5" applyFont="1" applyFill="1" applyBorder="1" applyAlignment="1">
      <alignment horizontal="center"/>
    </xf>
    <xf numFmtId="37" fontId="37" fillId="0" borderId="0" xfId="4" applyNumberFormat="1" applyFont="1" applyFill="1" applyBorder="1" applyProtection="1"/>
    <xf numFmtId="37" fontId="56" fillId="4" borderId="0" xfId="5" applyFont="1" applyFill="1" applyBorder="1" applyAlignment="1">
      <alignment horizontal="center"/>
    </xf>
    <xf numFmtId="10" fontId="37" fillId="0" borderId="0" xfId="13" applyNumberFormat="1" applyFont="1" applyFill="1" applyBorder="1" applyAlignment="1">
      <alignment horizontal="right"/>
    </xf>
    <xf numFmtId="0" fontId="37" fillId="0" borderId="0" xfId="0" applyNumberFormat="1" applyFont="1" applyBorder="1" applyAlignment="1"/>
    <xf numFmtId="37" fontId="37" fillId="0" borderId="0" xfId="4" applyNumberFormat="1" applyFont="1" applyFill="1" applyBorder="1" applyAlignment="1" applyProtection="1">
      <alignment horizontal="center"/>
    </xf>
    <xf numFmtId="37" fontId="56" fillId="0" borderId="0" xfId="5" applyFont="1" applyFill="1" applyBorder="1" applyProtection="1"/>
    <xf numFmtId="171" fontId="1" fillId="0" borderId="0" xfId="0" applyNumberFormat="1" applyFont="1" applyFill="1" applyBorder="1"/>
    <xf numFmtId="171" fontId="11" fillId="0" borderId="0" xfId="0" applyNumberFormat="1" applyFont="1"/>
    <xf numFmtId="41" fontId="11" fillId="0" borderId="5" xfId="0" applyNumberFormat="1" applyFont="1" applyBorder="1"/>
    <xf numFmtId="41" fontId="37" fillId="0" borderId="0" xfId="0" applyNumberFormat="1" applyFont="1" applyFill="1" applyBorder="1"/>
    <xf numFmtId="41" fontId="46" fillId="0" borderId="0" xfId="0" applyNumberFormat="1" applyFont="1" applyFill="1" applyBorder="1"/>
    <xf numFmtId="171" fontId="0" fillId="0" borderId="0" xfId="0" applyNumberFormat="1" applyFill="1" applyBorder="1"/>
    <xf numFmtId="37" fontId="57" fillId="0" borderId="0" xfId="5" applyFont="1" applyFill="1" applyBorder="1" applyAlignment="1">
      <alignment horizontal="center"/>
    </xf>
    <xf numFmtId="0" fontId="46" fillId="0" borderId="0" xfId="0" applyNumberFormat="1" applyFont="1" applyBorder="1" applyAlignment="1" applyProtection="1">
      <protection locked="0"/>
    </xf>
    <xf numFmtId="37" fontId="59" fillId="0" borderId="0" xfId="5" applyFont="1" applyFill="1" applyBorder="1"/>
    <xf numFmtId="37" fontId="46" fillId="0" borderId="0" xfId="5" applyNumberFormat="1" applyFont="1" applyFill="1" applyBorder="1" applyAlignment="1" applyProtection="1">
      <alignment horizontal="center"/>
    </xf>
    <xf numFmtId="171" fontId="46" fillId="0" borderId="0" xfId="1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165" fontId="37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  <xf numFmtId="0" fontId="46" fillId="0" borderId="0" xfId="0" applyNumberFormat="1" applyFont="1" applyBorder="1" applyAlignment="1"/>
    <xf numFmtId="0" fontId="37" fillId="0" borderId="0" xfId="0" applyNumberFormat="1" applyFont="1" applyBorder="1" applyAlignment="1" applyProtection="1">
      <protection locked="0"/>
    </xf>
    <xf numFmtId="4" fontId="37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/>
    <xf numFmtId="0" fontId="37" fillId="0" borderId="0" xfId="0" applyNumberFormat="1" applyFont="1" applyBorder="1" applyAlignment="1">
      <alignment horizontal="left"/>
    </xf>
    <xf numFmtId="0" fontId="37" fillId="0" borderId="0" xfId="14" applyNumberFormat="1" applyFont="1" applyFill="1" applyBorder="1" applyAlignment="1">
      <alignment horizontal="left"/>
    </xf>
    <xf numFmtId="168" fontId="37" fillId="0" borderId="0" xfId="14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/>
    <xf numFmtId="165" fontId="37" fillId="0" borderId="0" xfId="0" applyNumberFormat="1" applyFont="1" applyFill="1" applyBorder="1" applyAlignment="1">
      <alignment horizontal="left"/>
    </xf>
    <xf numFmtId="0" fontId="37" fillId="0" borderId="0" xfId="14" applyNumberFormat="1" applyFont="1" applyFill="1" applyBorder="1" applyAlignment="1" applyProtection="1">
      <protection locked="0"/>
    </xf>
    <xf numFmtId="2" fontId="37" fillId="0" borderId="0" xfId="14" applyNumberFormat="1" applyFont="1" applyFill="1" applyBorder="1" applyAlignment="1" applyProtection="1">
      <alignment horizontal="left"/>
    </xf>
    <xf numFmtId="0" fontId="37" fillId="0" borderId="0" xfId="0" applyFont="1" applyFill="1" applyBorder="1" applyAlignment="1">
      <alignment horizontal="left" indent="2"/>
    </xf>
    <xf numFmtId="0" fontId="0" fillId="4" borderId="0" xfId="0" applyFill="1" applyBorder="1"/>
    <xf numFmtId="168" fontId="46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 applyProtection="1">
      <protection locked="0"/>
    </xf>
    <xf numFmtId="37" fontId="29" fillId="0" borderId="0" xfId="5" quotePrefix="1" applyFont="1" applyFill="1" applyBorder="1" applyAlignment="1">
      <alignment horizontal="center"/>
    </xf>
    <xf numFmtId="37" fontId="32" fillId="0" borderId="0" xfId="5" quotePrefix="1" applyFont="1" applyFill="1" applyBorder="1" applyAlignment="1">
      <alignment horizontal="center"/>
    </xf>
    <xf numFmtId="37" fontId="29" fillId="0" borderId="0" xfId="5" quotePrefix="1" applyNumberFormat="1" applyFont="1" applyFill="1" applyBorder="1" applyAlignment="1">
      <alignment horizontal="center"/>
    </xf>
    <xf numFmtId="0" fontId="32" fillId="0" borderId="0" xfId="6" applyFont="1" applyFill="1" applyBorder="1" applyAlignment="1">
      <alignment horizontal="left"/>
    </xf>
    <xf numFmtId="1" fontId="32" fillId="0" borderId="0" xfId="6" applyNumberFormat="1" applyFont="1" applyFill="1" applyBorder="1" applyAlignment="1">
      <alignment horizontal="center"/>
    </xf>
    <xf numFmtId="37" fontId="29" fillId="0" borderId="0" xfId="5" applyFont="1" applyFill="1" applyBorder="1"/>
    <xf numFmtId="37" fontId="32" fillId="0" borderId="0" xfId="4" applyNumberFormat="1" applyFont="1" applyFill="1" applyBorder="1" applyProtection="1"/>
    <xf numFmtId="37" fontId="32" fillId="0" borderId="0" xfId="5" applyFont="1" applyFill="1" applyBorder="1" applyAlignment="1">
      <alignment horizontal="center"/>
    </xf>
    <xf numFmtId="10" fontId="29" fillId="0" borderId="0" xfId="5" applyNumberFormat="1" applyFont="1" applyFill="1" applyBorder="1" applyProtection="1"/>
    <xf numFmtId="37" fontId="28" fillId="4" borderId="0" xfId="5" applyFill="1" applyBorder="1"/>
    <xf numFmtId="37" fontId="29" fillId="4" borderId="0" xfId="4" applyNumberFormat="1" applyFont="1" applyFill="1" applyBorder="1" applyProtection="1"/>
    <xf numFmtId="37" fontId="29" fillId="4" borderId="0" xfId="5" applyFont="1" applyFill="1" applyBorder="1" applyAlignment="1">
      <alignment horizontal="center"/>
    </xf>
    <xf numFmtId="176" fontId="31" fillId="4" borderId="0" xfId="2" applyNumberFormat="1" applyFont="1" applyFill="1" applyBorder="1" applyProtection="1">
      <protection locked="0"/>
    </xf>
    <xf numFmtId="37" fontId="28" fillId="4" borderId="0" xfId="5" applyFont="1" applyFill="1" applyBorder="1" applyProtection="1"/>
    <xf numFmtId="171" fontId="0" fillId="4" borderId="0" xfId="1" applyNumberFormat="1" applyFont="1" applyFill="1" applyBorder="1"/>
    <xf numFmtId="37" fontId="0" fillId="4" borderId="0" xfId="0" applyNumberFormat="1" applyFill="1" applyBorder="1"/>
    <xf numFmtId="37" fontId="29" fillId="0" borderId="0" xfId="5" applyFont="1" applyFill="1" applyBorder="1" applyAlignment="1" applyProtection="1">
      <alignment horizontal="center"/>
      <protection locked="0"/>
    </xf>
    <xf numFmtId="37" fontId="29" fillId="0" borderId="0" xfId="4" applyFont="1" applyFill="1" applyBorder="1" applyProtection="1"/>
    <xf numFmtId="171" fontId="29" fillId="0" borderId="0" xfId="1" applyNumberFormat="1" applyFont="1" applyFill="1" applyBorder="1" applyProtection="1"/>
    <xf numFmtId="37" fontId="28" fillId="0" borderId="0" xfId="5" applyNumberFormat="1" applyFont="1" applyFill="1" applyBorder="1" applyProtection="1"/>
    <xf numFmtId="37" fontId="31" fillId="0" borderId="0" xfId="5" applyNumberFormat="1" applyFont="1" applyFill="1" applyBorder="1" applyProtection="1"/>
    <xf numFmtId="37" fontId="11" fillId="0" borderId="0" xfId="5" applyFont="1" applyFill="1" applyBorder="1" applyAlignment="1">
      <alignment horizontal="center"/>
    </xf>
    <xf numFmtId="37" fontId="29" fillId="0" borderId="0" xfId="5" applyFont="1" applyFill="1" applyBorder="1" applyAlignment="1" applyProtection="1">
      <alignment horizontal="centerContinuous"/>
    </xf>
    <xf numFmtId="0" fontId="0" fillId="0" borderId="0" xfId="0" applyNumberFormat="1" applyFont="1" applyAlignment="1" applyProtection="1">
      <alignment horizontal="right"/>
      <protection locked="0"/>
    </xf>
    <xf numFmtId="0" fontId="1" fillId="0" borderId="4" xfId="0" applyNumberFormat="1" applyFont="1" applyBorder="1" applyAlignment="1" applyProtection="1">
      <protection locked="0"/>
    </xf>
    <xf numFmtId="0" fontId="0" fillId="0" borderId="4" xfId="0" applyNumberFormat="1" applyFont="1" applyBorder="1" applyAlignment="1" applyProtection="1">
      <protection locked="0"/>
    </xf>
    <xf numFmtId="3" fontId="0" fillId="0" borderId="4" xfId="0" applyNumberFormat="1" applyBorder="1"/>
    <xf numFmtId="3" fontId="0" fillId="0" borderId="4" xfId="0" applyNumberFormat="1" applyFont="1" applyBorder="1" applyAlignment="1" applyProtection="1">
      <protection locked="0"/>
    </xf>
    <xf numFmtId="0" fontId="1" fillId="0" borderId="2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7" fillId="0" borderId="0" xfId="0" applyNumberFormat="1" applyFont="1" applyAlignment="1"/>
    <xf numFmtId="37" fontId="1" fillId="0" borderId="0" xfId="5" applyNumberFormat="1" applyFont="1" applyFill="1" applyProtection="1">
      <protection locked="0"/>
    </xf>
    <xf numFmtId="37" fontId="1" fillId="0" borderId="5" xfId="5" applyNumberFormat="1" applyFont="1" applyFill="1" applyBorder="1" applyProtection="1">
      <protection locked="0"/>
    </xf>
    <xf numFmtId="37" fontId="1" fillId="0" borderId="0" xfId="5" applyNumberFormat="1" applyFont="1" applyFill="1" applyProtection="1"/>
    <xf numFmtId="37" fontId="1" fillId="0" borderId="5" xfId="0" applyNumberFormat="1" applyFont="1" applyBorder="1"/>
    <xf numFmtId="37" fontId="1" fillId="0" borderId="0" xfId="0" applyNumberFormat="1" applyFont="1" applyFill="1"/>
    <xf numFmtId="37" fontId="1" fillId="0" borderId="4" xfId="0" applyNumberFormat="1" applyFont="1" applyFill="1" applyBorder="1"/>
    <xf numFmtId="0" fontId="1" fillId="0" borderId="4" xfId="0" applyFont="1" applyFill="1" applyBorder="1"/>
    <xf numFmtId="37" fontId="28" fillId="0" borderId="0" xfId="5" applyNumberFormat="1" applyFont="1" applyFill="1" applyProtection="1">
      <protection locked="0"/>
    </xf>
    <xf numFmtId="0" fontId="17" fillId="0" borderId="0" xfId="0" applyFont="1" applyFill="1"/>
    <xf numFmtId="37" fontId="28" fillId="0" borderId="0" xfId="5" applyFont="1" applyFill="1"/>
    <xf numFmtId="171" fontId="1" fillId="0" borderId="4" xfId="1" applyNumberFormat="1" applyFont="1" applyFill="1" applyBorder="1"/>
    <xf numFmtId="37" fontId="1" fillId="0" borderId="4" xfId="5" applyNumberFormat="1" applyFont="1" applyFill="1" applyBorder="1" applyProtection="1">
      <protection locked="0"/>
    </xf>
    <xf numFmtId="171" fontId="1" fillId="0" borderId="0" xfId="1" applyNumberFormat="1" applyFont="1" applyFill="1" applyBorder="1"/>
    <xf numFmtId="37" fontId="28" fillId="0" borderId="4" xfId="5" applyFont="1" applyFill="1" applyBorder="1" applyProtection="1"/>
    <xf numFmtId="37" fontId="1" fillId="0" borderId="0" xfId="5" applyNumberFormat="1" applyFont="1" applyFill="1" applyBorder="1" applyProtection="1">
      <protection locked="0"/>
    </xf>
    <xf numFmtId="37" fontId="1" fillId="0" borderId="5" xfId="5" applyNumberFormat="1" applyFont="1" applyFill="1" applyBorder="1" applyProtection="1"/>
    <xf numFmtId="37" fontId="61" fillId="6" borderId="0" xfId="5" applyNumberFormat="1" applyFont="1" applyFill="1" applyProtection="1"/>
    <xf numFmtId="0" fontId="37" fillId="6" borderId="0" xfId="1" applyNumberFormat="1" applyFont="1" applyFill="1" applyBorder="1" applyAlignment="1"/>
    <xf numFmtId="37" fontId="37" fillId="6" borderId="0" xfId="5" applyNumberFormat="1" applyFont="1" applyFill="1" applyProtection="1"/>
    <xf numFmtId="37" fontId="1" fillId="0" borderId="8" xfId="5" applyNumberFormat="1" applyFont="1" applyFill="1" applyBorder="1" applyProtection="1"/>
    <xf numFmtId="171" fontId="1" fillId="0" borderId="4" xfId="1" applyNumberFormat="1" applyFont="1" applyFill="1" applyBorder="1" applyProtection="1"/>
    <xf numFmtId="171" fontId="1" fillId="0" borderId="0" xfId="1" applyNumberFormat="1" applyFont="1" applyFill="1" applyProtection="1"/>
    <xf numFmtId="171" fontId="1" fillId="0" borderId="8" xfId="1" applyNumberFormat="1" applyFont="1" applyFill="1" applyBorder="1"/>
    <xf numFmtId="0" fontId="6" fillId="6" borderId="0" xfId="0" applyNumberFormat="1" applyFont="1" applyFill="1" applyAlignment="1">
      <alignment horizontal="left"/>
    </xf>
    <xf numFmtId="0" fontId="6" fillId="6" borderId="0" xfId="0" applyNumberFormat="1" applyFont="1" applyFill="1" applyAlignment="1"/>
    <xf numFmtId="37" fontId="49" fillId="6" borderId="8" xfId="15" applyNumberFormat="1" applyFont="1" applyFill="1" applyBorder="1" applyAlignment="1"/>
    <xf numFmtId="37" fontId="49" fillId="6" borderId="5" xfId="15" applyNumberFormat="1" applyFont="1" applyFill="1" applyBorder="1" applyAlignment="1"/>
    <xf numFmtId="0" fontId="54" fillId="6" borderId="0" xfId="0" applyNumberFormat="1" applyFont="1" applyFill="1" applyAlignment="1">
      <alignment horizontal="left"/>
    </xf>
    <xf numFmtId="0" fontId="3" fillId="6" borderId="0" xfId="0" applyNumberFormat="1" applyFont="1" applyFill="1" applyAlignment="1"/>
    <xf numFmtId="0" fontId="0" fillId="6" borderId="0" xfId="0" applyNumberFormat="1" applyFont="1" applyFill="1" applyAlignment="1" applyProtection="1">
      <protection locked="0"/>
    </xf>
    <xf numFmtId="182" fontId="0" fillId="6" borderId="0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/>
    <xf numFmtId="0" fontId="0" fillId="6" borderId="0" xfId="0" applyNumberFormat="1" applyFont="1" applyFill="1" applyAlignment="1">
      <alignment horizontal="right"/>
    </xf>
    <xf numFmtId="0" fontId="0" fillId="6" borderId="0" xfId="0" quotePrefix="1" applyNumberFormat="1" applyFont="1" applyFill="1" applyAlignment="1">
      <alignment horizontal="right"/>
    </xf>
    <xf numFmtId="0" fontId="0" fillId="6" borderId="0" xfId="0" applyNumberFormat="1" applyFont="1" applyFill="1" applyAlignment="1"/>
    <xf numFmtId="37" fontId="52" fillId="6" borderId="0" xfId="15" applyNumberFormat="1" applyFont="1" applyFill="1" applyBorder="1" applyAlignment="1"/>
    <xf numFmtId="0" fontId="37" fillId="6" borderId="0" xfId="0" applyFont="1" applyFill="1"/>
    <xf numFmtId="41" fontId="1" fillId="0" borderId="8" xfId="0" applyNumberFormat="1" applyFont="1" applyFill="1" applyBorder="1"/>
    <xf numFmtId="41" fontId="1" fillId="0" borderId="5" xfId="0" applyNumberFormat="1" applyFont="1" applyFill="1" applyBorder="1"/>
    <xf numFmtId="0" fontId="37" fillId="7" borderId="0" xfId="0" applyFont="1" applyFill="1"/>
    <xf numFmtId="3" fontId="37" fillId="7" borderId="0" xfId="0" applyNumberFormat="1" applyFont="1" applyFill="1"/>
    <xf numFmtId="38" fontId="1" fillId="0" borderId="0" xfId="0" applyNumberFormat="1" applyFont="1" applyFill="1"/>
    <xf numFmtId="43" fontId="35" fillId="0" borderId="0" xfId="0" applyNumberFormat="1" applyFont="1"/>
    <xf numFmtId="171" fontId="37" fillId="0" borderId="0" xfId="0" applyNumberFormat="1" applyFont="1"/>
    <xf numFmtId="37" fontId="1" fillId="6" borderId="0" xfId="5" applyNumberFormat="1" applyFont="1" applyFill="1" applyProtection="1">
      <protection locked="0"/>
    </xf>
    <xf numFmtId="41" fontId="0" fillId="0" borderId="0" xfId="17" applyFont="1" applyAlignment="1" applyProtection="1">
      <protection locked="0"/>
    </xf>
    <xf numFmtId="41" fontId="0" fillId="0" borderId="4" xfId="17" applyFont="1" applyBorder="1" applyAlignment="1" applyProtection="1">
      <protection locked="0"/>
    </xf>
    <xf numFmtId="41" fontId="0" fillId="0" borderId="8" xfId="17" applyFont="1" applyBorder="1" applyAlignment="1" applyProtection="1">
      <protection locked="0"/>
    </xf>
    <xf numFmtId="41" fontId="0" fillId="0" borderId="0" xfId="0" applyNumberFormat="1" applyFont="1" applyAlignment="1" applyProtection="1">
      <protection locked="0"/>
    </xf>
    <xf numFmtId="41" fontId="0" fillId="0" borderId="5" xfId="17" applyFont="1" applyBorder="1" applyAlignment="1" applyProtection="1">
      <protection locked="0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171" fontId="39" fillId="0" borderId="2" xfId="1" applyNumberFormat="1" applyFont="1" applyBorder="1" applyAlignment="1">
      <alignment horizontal="center"/>
    </xf>
    <xf numFmtId="179" fontId="39" fillId="0" borderId="0" xfId="1" applyNumberFormat="1" applyFont="1" applyBorder="1" applyAlignment="1"/>
    <xf numFmtId="0" fontId="39" fillId="0" borderId="0" xfId="0" applyNumberFormat="1" applyFont="1" applyBorder="1"/>
    <xf numFmtId="171" fontId="45" fillId="3" borderId="0" xfId="1" applyNumberFormat="1" applyFont="1" applyFill="1" applyAlignment="1"/>
    <xf numFmtId="179" fontId="45" fillId="3" borderId="0" xfId="1" applyNumberFormat="1" applyFont="1" applyFill="1" applyAlignment="1" applyProtection="1">
      <protection locked="0"/>
    </xf>
    <xf numFmtId="171" fontId="45" fillId="3" borderId="2" xfId="1" applyNumberFormat="1" applyFont="1" applyFill="1" applyBorder="1" applyAlignment="1"/>
    <xf numFmtId="179" fontId="45" fillId="3" borderId="2" xfId="1" applyNumberFormat="1" applyFont="1" applyFill="1" applyBorder="1" applyAlignment="1" applyProtection="1">
      <protection locked="0"/>
    </xf>
    <xf numFmtId="179" fontId="39" fillId="0" borderId="6" xfId="1" applyNumberFormat="1" applyFont="1" applyBorder="1"/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centerContinuous" wrapText="1"/>
    </xf>
    <xf numFmtId="164" fontId="42" fillId="0" borderId="0" xfId="0" applyNumberFormat="1" applyFont="1" applyAlignment="1"/>
    <xf numFmtId="176" fontId="39" fillId="0" borderId="10" xfId="2" applyNumberFormat="1" applyFont="1" applyBorder="1" applyAlignment="1"/>
    <xf numFmtId="179" fontId="39" fillId="0" borderId="10" xfId="1" applyNumberFormat="1" applyFont="1" applyBorder="1" applyAlignment="1"/>
    <xf numFmtId="3" fontId="39" fillId="0" borderId="0" xfId="0" applyNumberFormat="1" applyFont="1" applyAlignment="1">
      <alignment horizontal="centerContinuous"/>
    </xf>
    <xf numFmtId="0" fontId="63" fillId="0" borderId="0" xfId="0" applyFont="1"/>
    <xf numFmtId="0" fontId="39" fillId="0" borderId="3" xfId="0" applyNumberFormat="1" applyFont="1" applyBorder="1"/>
    <xf numFmtId="167" fontId="39" fillId="0" borderId="0" xfId="0" applyNumberFormat="1" applyFont="1" applyAlignment="1"/>
    <xf numFmtId="179" fontId="39" fillId="0" borderId="0" xfId="1" applyNumberFormat="1" applyFont="1" applyAlignment="1" applyProtection="1">
      <protection locked="0"/>
    </xf>
    <xf numFmtId="167" fontId="39" fillId="0" borderId="0" xfId="0" applyNumberFormat="1" applyFont="1" applyBorder="1" applyAlignment="1"/>
    <xf numFmtId="164" fontId="39" fillId="0" borderId="0" xfId="0" applyNumberFormat="1" applyFont="1" applyBorder="1" applyAlignment="1"/>
    <xf numFmtId="0" fontId="39" fillId="0" borderId="0" xfId="0" quotePrefix="1" applyNumberFormat="1" applyFont="1" applyAlignment="1">
      <alignment horizontal="center"/>
    </xf>
    <xf numFmtId="164" fontId="39" fillId="0" borderId="4" xfId="0" applyNumberFormat="1" applyFont="1" applyBorder="1" applyAlignment="1"/>
    <xf numFmtId="0" fontId="39" fillId="0" borderId="4" xfId="0" quotePrefix="1" applyNumberFormat="1" applyFont="1" applyBorder="1" applyAlignment="1">
      <alignment horizontal="center"/>
    </xf>
    <xf numFmtId="164" fontId="39" fillId="0" borderId="6" xfId="0" applyNumberFormat="1" applyFont="1" applyBorder="1" applyAlignment="1"/>
    <xf numFmtId="167" fontId="39" fillId="0" borderId="6" xfId="0" applyNumberFormat="1" applyFont="1" applyBorder="1" applyAlignment="1"/>
    <xf numFmtId="175" fontId="39" fillId="0" borderId="2" xfId="0" applyNumberFormat="1" applyFont="1" applyBorder="1" applyAlignment="1">
      <alignment horizontal="centerContinuous"/>
    </xf>
    <xf numFmtId="164" fontId="41" fillId="0" borderId="0" xfId="0" applyNumberFormat="1" applyFont="1" applyBorder="1" applyAlignment="1"/>
    <xf numFmtId="179" fontId="39" fillId="0" borderId="3" xfId="1" applyNumberFormat="1" applyFont="1" applyBorder="1"/>
    <xf numFmtId="4" fontId="39" fillId="0" borderId="0" xfId="0" applyNumberFormat="1" applyFont="1" applyAlignment="1"/>
    <xf numFmtId="37" fontId="6" fillId="0" borderId="0" xfId="0" applyNumberFormat="1" applyFont="1" applyAlignment="1"/>
    <xf numFmtId="10" fontId="6" fillId="0" borderId="0" xfId="13" applyNumberFormat="1" applyFont="1" applyAlignment="1"/>
    <xf numFmtId="171" fontId="1" fillId="0" borderId="0" xfId="1" quotePrefix="1" applyNumberFormat="1" applyFont="1" applyFill="1" applyAlignment="1">
      <alignment horizontal="left"/>
    </xf>
    <xf numFmtId="37" fontId="0" fillId="0" borderId="0" xfId="0" applyNumberFormat="1" applyFont="1" applyAlignment="1" applyProtection="1">
      <protection locked="0"/>
    </xf>
    <xf numFmtId="185" fontId="0" fillId="0" borderId="0" xfId="13" applyNumberFormat="1" applyFont="1" applyAlignment="1" applyProtection="1">
      <protection locked="0"/>
    </xf>
    <xf numFmtId="171" fontId="37" fillId="6" borderId="0" xfId="1" applyNumberFormat="1" applyFont="1" applyFill="1"/>
    <xf numFmtId="171" fontId="46" fillId="0" borderId="0" xfId="1" applyNumberFormat="1" applyFont="1"/>
    <xf numFmtId="171" fontId="0" fillId="0" borderId="0" xfId="0" applyNumberFormat="1" applyFont="1" applyAlignment="1" applyProtection="1">
      <protection locked="0"/>
    </xf>
    <xf numFmtId="171" fontId="0" fillId="0" borderId="0" xfId="1" applyNumberFormat="1" applyFont="1" applyAlignment="1" applyProtection="1">
      <protection locked="0"/>
    </xf>
    <xf numFmtId="171" fontId="35" fillId="0" borderId="0" xfId="0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186" fontId="1" fillId="0" borderId="0" xfId="0" applyNumberFormat="1" applyFont="1" applyAlignment="1"/>
    <xf numFmtId="0" fontId="3" fillId="0" borderId="0" xfId="0" quotePrefix="1" applyNumberFormat="1" applyFont="1" applyFill="1" applyAlignment="1"/>
    <xf numFmtId="0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 vertical="top" wrapText="1"/>
    </xf>
    <xf numFmtId="10" fontId="3" fillId="0" borderId="0" xfId="13" applyNumberFormat="1" applyFont="1" applyFill="1" applyAlignment="1">
      <alignment horizontal="centerContinuous" vertical="top" wrapText="1"/>
    </xf>
    <xf numFmtId="0" fontId="3" fillId="0" borderId="0" xfId="0" quotePrefix="1" applyNumberFormat="1" applyFont="1" applyAlignment="1"/>
    <xf numFmtId="0" fontId="1" fillId="0" borderId="4" xfId="0" applyFont="1" applyBorder="1" applyAlignment="1">
      <alignment horizontal="center"/>
    </xf>
    <xf numFmtId="176" fontId="39" fillId="0" borderId="0" xfId="2" applyNumberFormat="1" applyFont="1"/>
    <xf numFmtId="41" fontId="39" fillId="0" borderId="0" xfId="0" applyNumberFormat="1" applyFont="1"/>
    <xf numFmtId="41" fontId="39" fillId="0" borderId="4" xfId="0" applyNumberFormat="1" applyFont="1" applyBorder="1"/>
    <xf numFmtId="0" fontId="39" fillId="0" borderId="0" xfId="0" applyFont="1"/>
    <xf numFmtId="176" fontId="39" fillId="0" borderId="4" xfId="2" applyNumberFormat="1" applyFont="1" applyBorder="1"/>
    <xf numFmtId="44" fontId="39" fillId="0" borderId="0" xfId="2" applyFont="1"/>
    <xf numFmtId="42" fontId="0" fillId="0" borderId="0" xfId="0" applyNumberFormat="1" applyFill="1"/>
    <xf numFmtId="3" fontId="3" fillId="0" borderId="0" xfId="0" quotePrefix="1" applyNumberFormat="1" applyFont="1" applyFill="1" applyAlignment="1"/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 horizontal="centerContinuous"/>
    </xf>
    <xf numFmtId="37" fontId="1" fillId="0" borderId="0" xfId="0" applyNumberFormat="1" applyFont="1" applyFill="1" applyBorder="1" applyAlignment="1">
      <alignment horizontal="center"/>
    </xf>
    <xf numFmtId="176" fontId="0" fillId="0" borderId="0" xfId="2" applyNumberFormat="1" applyFont="1" applyFill="1" applyBorder="1"/>
    <xf numFmtId="41" fontId="1" fillId="0" borderId="0" xfId="0" applyNumberFormat="1" applyFont="1" applyFill="1" applyBorder="1" applyAlignment="1" applyProtection="1">
      <protection locked="0"/>
    </xf>
    <xf numFmtId="43" fontId="0" fillId="0" borderId="0" xfId="0" applyNumberFormat="1" applyFill="1" applyBorder="1"/>
    <xf numFmtId="10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Border="1" applyAlignment="1"/>
    <xf numFmtId="0" fontId="3" fillId="0" borderId="0" xfId="3" applyNumberFormat="1" applyFont="1" applyFill="1" applyAlignment="1">
      <alignment horizontal="centerContinuous"/>
    </xf>
    <xf numFmtId="0" fontId="3" fillId="0" borderId="0" xfId="0" applyFont="1" applyFill="1"/>
    <xf numFmtId="0" fontId="8" fillId="0" borderId="0" xfId="0" applyFont="1" applyFill="1"/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justify" vertical="top" wrapText="1"/>
    </xf>
    <xf numFmtId="0" fontId="3" fillId="0" borderId="4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2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left"/>
    </xf>
    <xf numFmtId="0" fontId="3" fillId="0" borderId="2" xfId="3" quotePrefix="1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/>
    <xf numFmtId="164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right"/>
    </xf>
    <xf numFmtId="0" fontId="5" fillId="0" borderId="0" xfId="0" applyNumberFormat="1" applyFont="1" applyFill="1" applyAlignment="1"/>
    <xf numFmtId="164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72" fontId="3" fillId="0" borderId="0" xfId="0" applyNumberFormat="1" applyFont="1" applyFill="1" applyBorder="1"/>
    <xf numFmtId="172" fontId="3" fillId="0" borderId="0" xfId="0" applyNumberFormat="1" applyFont="1" applyFill="1"/>
    <xf numFmtId="165" fontId="3" fillId="0" borderId="0" xfId="0" applyNumberFormat="1" applyFont="1" applyFill="1" applyBorder="1" applyAlignment="1"/>
    <xf numFmtId="0" fontId="3" fillId="0" borderId="0" xfId="0" applyFont="1" applyFill="1" applyBorder="1"/>
    <xf numFmtId="164" fontId="3" fillId="0" borderId="4" xfId="0" applyNumberFormat="1" applyFont="1" applyFill="1" applyBorder="1" applyAlignment="1"/>
    <xf numFmtId="172" fontId="3" fillId="0" borderId="4" xfId="0" applyNumberFormat="1" applyFont="1" applyFill="1" applyBorder="1" applyAlignment="1"/>
    <xf numFmtId="172" fontId="3" fillId="0" borderId="4" xfId="0" applyNumberFormat="1" applyFont="1" applyFill="1" applyBorder="1"/>
    <xf numFmtId="172" fontId="3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Continuous" vertical="top" wrapText="1"/>
    </xf>
    <xf numFmtId="0" fontId="3" fillId="0" borderId="0" xfId="0" applyNumberFormat="1" applyFont="1" applyFill="1" applyAlignment="1">
      <alignment horizontal="centerContinuous" vertical="top" wrapText="1"/>
    </xf>
    <xf numFmtId="0" fontId="8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/>
    </xf>
    <xf numFmtId="175" fontId="3" fillId="0" borderId="2" xfId="0" applyNumberFormat="1" applyFont="1" applyFill="1" applyBorder="1" applyAlignment="1">
      <alignment horizontal="center"/>
    </xf>
    <xf numFmtId="171" fontId="8" fillId="0" borderId="0" xfId="1" applyNumberFormat="1" applyFont="1" applyFill="1" applyBorder="1"/>
    <xf numFmtId="179" fontId="3" fillId="0" borderId="0" xfId="1" applyNumberFormat="1" applyFont="1" applyFill="1" applyBorder="1" applyAlignment="1"/>
    <xf numFmtId="171" fontId="8" fillId="0" borderId="4" xfId="1" applyNumberFormat="1" applyFont="1" applyFill="1" applyBorder="1"/>
    <xf numFmtId="179" fontId="3" fillId="0" borderId="4" xfId="1" applyNumberFormat="1" applyFont="1" applyFill="1" applyBorder="1" applyAlignment="1"/>
    <xf numFmtId="171" fontId="8" fillId="0" borderId="6" xfId="1" applyNumberFormat="1" applyFont="1" applyFill="1" applyBorder="1"/>
    <xf numFmtId="179" fontId="3" fillId="0" borderId="6" xfId="1" applyNumberFormat="1" applyFont="1" applyFill="1" applyBorder="1" applyAlignment="1"/>
    <xf numFmtId="0" fontId="46" fillId="0" borderId="0" xfId="0" applyFont="1" applyFill="1" applyBorder="1" applyAlignment="1">
      <alignment horizontal="center"/>
    </xf>
    <xf numFmtId="37" fontId="46" fillId="0" borderId="4" xfId="5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37" fontId="1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9" fillId="0" borderId="0" xfId="0" applyNumberFormat="1" applyFont="1" applyBorder="1" applyAlignment="1">
      <alignment horizontal="justify" vertical="top" wrapText="1"/>
    </xf>
    <xf numFmtId="0" fontId="39" fillId="0" borderId="0" xfId="0" applyFont="1" applyBorder="1" applyAlignment="1">
      <alignment horizontal="justify" vertical="top" wrapText="1"/>
    </xf>
    <xf numFmtId="0" fontId="39" fillId="0" borderId="0" xfId="0" applyNumberFormat="1" applyFont="1" applyFill="1" applyBorder="1" applyAlignment="1">
      <alignment horizontal="justify" vertical="top" wrapText="1"/>
    </xf>
    <xf numFmtId="0" fontId="39" fillId="0" borderId="0" xfId="0" applyFont="1" applyFill="1" applyBorder="1" applyAlignment="1">
      <alignment horizontal="justify" vertical="top" wrapText="1"/>
    </xf>
    <xf numFmtId="0" fontId="2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justify" vertical="top" wrapText="1"/>
    </xf>
    <xf numFmtId="0" fontId="3" fillId="0" borderId="4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</cellXfs>
  <cellStyles count="18">
    <cellStyle name="Comma" xfId="1" builtinId="3"/>
    <cellStyle name="Comma [0]" xfId="17" builtinId="6"/>
    <cellStyle name="Currency" xfId="2" builtinId="4"/>
    <cellStyle name="Normal" xfId="0" builtinId="0"/>
    <cellStyle name="Normal 10" xfId="16" xr:uid="{6F9CAA8E-9F86-460E-B9FC-CB82A3F0CC60}"/>
    <cellStyle name="Normal_F   6   7" xfId="3" xr:uid="{00000000-0005-0000-0000-000003000000}"/>
    <cellStyle name="Normal_PECO Gas Exhibits" xfId="4" xr:uid="{00000000-0005-0000-0000-000004000000}"/>
    <cellStyle name="Normal_PGW 2006" xfId="5" xr:uid="{00000000-0005-0000-0000-000005000000}"/>
    <cellStyle name="Normal_PGW Budget FY06-07 Final 08Jun06" xfId="6" xr:uid="{00000000-0005-0000-0000-000006000000}"/>
    <cellStyle name="Normal_Proof Sheets (20A3 Less MD)" xfId="7" xr:uid="{00000000-0005-0000-0000-000007000000}"/>
    <cellStyle name="Normal_Table 3" xfId="14" xr:uid="{00000000-0005-0000-0000-000008000000}"/>
    <cellStyle name="Normal_Table 4" xfId="15" xr:uid="{A7722C5E-2AC5-49AA-A028-7E6EF3320635}"/>
    <cellStyle name="Output Amounts" xfId="8" xr:uid="{00000000-0005-0000-0000-000009000000}"/>
    <cellStyle name="Output Column Headings" xfId="9" xr:uid="{00000000-0005-0000-0000-00000A000000}"/>
    <cellStyle name="Output Line Items" xfId="10" xr:uid="{00000000-0005-0000-0000-00000B000000}"/>
    <cellStyle name="Output Report Heading" xfId="11" xr:uid="{00000000-0005-0000-0000-00000C000000}"/>
    <cellStyle name="Output Report Title" xfId="12" xr:uid="{00000000-0005-0000-0000-00000D000000}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81050" y="136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781050" y="1470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781050" y="174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>
          <a:off x="781050" y="60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ShapeType="1"/>
        </xdr:cNvSpPr>
      </xdr:nvSpPr>
      <xdr:spPr bwMode="auto">
        <a:xfrm>
          <a:off x="781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ShapeType="1"/>
        </xdr:cNvSpPr>
      </xdr:nvSpPr>
      <xdr:spPr bwMode="auto">
        <a:xfrm>
          <a:off x="781050" y="937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>
          <a:off x="781050" y="1146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 bwMode="auto">
        <a:xfrm>
          <a:off x="781050" y="1261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ShapeType="1"/>
        </xdr:cNvSpPr>
      </xdr:nvSpPr>
      <xdr:spPr bwMode="auto">
        <a:xfrm>
          <a:off x="78105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-%20PROJECT%20FILES/331050%20AND%20100350%20-%20HARRISBURG/UGI%20Utilities/Gas%20Division/059058-COS/5-ProjectWorking/B-PreliminaryReport/UGI-PNG%20ADR%202007%203%2030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Deprate"/>
      <sheetName val="Descriptions"/>
      <sheetName val="Plant Statement"/>
      <sheetName val="Reserve Schedule"/>
      <sheetName val="Reserve for LDS"/>
      <sheetName val="Reserve Allocation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86238.28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9422.34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374.1</v>
          </cell>
          <cell r="B4" t="str">
            <v xml:space="preserve">       </v>
          </cell>
          <cell r="C4">
            <v>0</v>
          </cell>
          <cell r="D4" t="str">
            <v xml:space="preserve">ND   </v>
          </cell>
          <cell r="E4">
            <v>0</v>
          </cell>
          <cell r="F4">
            <v>301213.95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>
            <v>374.2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2073898.06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375.00 00010000     </v>
          </cell>
          <cell r="B6">
            <v>45992</v>
          </cell>
          <cell r="C6">
            <v>55</v>
          </cell>
          <cell r="D6" t="str">
            <v xml:space="preserve">R1.5 </v>
          </cell>
          <cell r="E6">
            <v>0</v>
          </cell>
          <cell r="F6">
            <v>4834.8500000000004</v>
          </cell>
          <cell r="G6">
            <v>3703</v>
          </cell>
          <cell r="H6">
            <v>1132</v>
          </cell>
          <cell r="I6">
            <v>69</v>
          </cell>
          <cell r="J6">
            <v>1.43</v>
          </cell>
          <cell r="K6">
            <v>16.399999999999999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76.599999999999994</v>
          </cell>
          <cell r="P6">
            <v>29.1</v>
          </cell>
          <cell r="Q6">
            <v>2903</v>
          </cell>
          <cell r="R6">
            <v>119</v>
          </cell>
          <cell r="S6">
            <v>2.46</v>
          </cell>
        </row>
        <row r="7">
          <cell r="A7" t="str">
            <v xml:space="preserve">375.00 00020000     </v>
          </cell>
          <cell r="B7">
            <v>40878</v>
          </cell>
          <cell r="C7">
            <v>55</v>
          </cell>
          <cell r="D7" t="str">
            <v xml:space="preserve">R1.5 </v>
          </cell>
          <cell r="E7">
            <v>0</v>
          </cell>
          <cell r="F7">
            <v>2171.17</v>
          </cell>
          <cell r="G7">
            <v>2484</v>
          </cell>
          <cell r="H7">
            <v>-313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114.4</v>
          </cell>
          <cell r="P7">
            <v>41.3</v>
          </cell>
          <cell r="Q7">
            <v>1947</v>
          </cell>
          <cell r="R7">
            <v>55</v>
          </cell>
          <cell r="S7">
            <v>2.5299999999999998</v>
          </cell>
        </row>
        <row r="8">
          <cell r="A8" t="str">
            <v xml:space="preserve">375.00 00070000     </v>
          </cell>
          <cell r="B8">
            <v>42339</v>
          </cell>
          <cell r="C8">
            <v>55</v>
          </cell>
          <cell r="D8" t="str">
            <v xml:space="preserve">R1.5 </v>
          </cell>
          <cell r="E8">
            <v>0</v>
          </cell>
          <cell r="F8">
            <v>1283</v>
          </cell>
          <cell r="G8">
            <v>1214</v>
          </cell>
          <cell r="H8">
            <v>69</v>
          </cell>
          <cell r="I8">
            <v>9</v>
          </cell>
          <cell r="J8">
            <v>0.7</v>
          </cell>
          <cell r="K8">
            <v>7.7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94.6</v>
          </cell>
          <cell r="P8">
            <v>25.3</v>
          </cell>
          <cell r="Q8">
            <v>952</v>
          </cell>
          <cell r="R8">
            <v>42</v>
          </cell>
          <cell r="S8">
            <v>3.27</v>
          </cell>
        </row>
        <row r="9">
          <cell r="A9" t="str">
            <v xml:space="preserve">375.00 00110000     </v>
          </cell>
          <cell r="B9">
            <v>42339</v>
          </cell>
          <cell r="C9">
            <v>55</v>
          </cell>
          <cell r="D9" t="str">
            <v xml:space="preserve">R1.5 </v>
          </cell>
          <cell r="E9">
            <v>0</v>
          </cell>
          <cell r="F9">
            <v>685.13</v>
          </cell>
          <cell r="G9">
            <v>654</v>
          </cell>
          <cell r="H9">
            <v>31</v>
          </cell>
          <cell r="I9">
            <v>4</v>
          </cell>
          <cell r="J9">
            <v>0.57999999999999996</v>
          </cell>
          <cell r="K9">
            <v>7.8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95.5</v>
          </cell>
          <cell r="P9">
            <v>26.3</v>
          </cell>
          <cell r="Q9">
            <v>513</v>
          </cell>
          <cell r="R9">
            <v>22</v>
          </cell>
          <cell r="S9">
            <v>3.21</v>
          </cell>
        </row>
        <row r="10">
          <cell r="A10" t="str">
            <v xml:space="preserve">375.00 00160000     </v>
          </cell>
          <cell r="B10">
            <v>42339</v>
          </cell>
          <cell r="C10">
            <v>55</v>
          </cell>
          <cell r="D10" t="str">
            <v xml:space="preserve">R1.5 </v>
          </cell>
          <cell r="E10">
            <v>0</v>
          </cell>
          <cell r="F10">
            <v>44728.75</v>
          </cell>
          <cell r="G10">
            <v>45947</v>
          </cell>
          <cell r="H10">
            <v>-1218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102.7</v>
          </cell>
          <cell r="P10">
            <v>37.299999999999997</v>
          </cell>
          <cell r="Q10">
            <v>36016</v>
          </cell>
          <cell r="R10">
            <v>1123</v>
          </cell>
          <cell r="S10">
            <v>2.5099999999999998</v>
          </cell>
        </row>
        <row r="11">
          <cell r="A11" t="str">
            <v xml:space="preserve">375.00 00190000     </v>
          </cell>
          <cell r="B11">
            <v>42339</v>
          </cell>
          <cell r="C11">
            <v>55</v>
          </cell>
          <cell r="D11" t="str">
            <v xml:space="preserve">R1.5 </v>
          </cell>
          <cell r="E11">
            <v>0</v>
          </cell>
          <cell r="F11">
            <v>31446.97</v>
          </cell>
          <cell r="G11">
            <v>30884</v>
          </cell>
          <cell r="H11">
            <v>563</v>
          </cell>
          <cell r="I11">
            <v>70</v>
          </cell>
          <cell r="J11">
            <v>0.22</v>
          </cell>
          <cell r="K11">
            <v>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36.700000000000003</v>
          </cell>
          <cell r="Q11">
            <v>24209</v>
          </cell>
          <cell r="R11">
            <v>929</v>
          </cell>
          <cell r="S11">
            <v>2.95</v>
          </cell>
        </row>
        <row r="12">
          <cell r="A12" t="str">
            <v xml:space="preserve">375.00 00200000     </v>
          </cell>
          <cell r="B12">
            <v>41244</v>
          </cell>
          <cell r="C12">
            <v>55</v>
          </cell>
          <cell r="D12" t="str">
            <v xml:space="preserve">R1.5 </v>
          </cell>
          <cell r="E12">
            <v>0</v>
          </cell>
          <cell r="F12">
            <v>1705.05</v>
          </cell>
          <cell r="G12">
            <v>1888</v>
          </cell>
          <cell r="H12">
            <v>-183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110.7</v>
          </cell>
          <cell r="P12">
            <v>38.4</v>
          </cell>
          <cell r="Q12">
            <v>1480</v>
          </cell>
          <cell r="R12">
            <v>45</v>
          </cell>
          <cell r="S12">
            <v>2.64</v>
          </cell>
        </row>
        <row r="13">
          <cell r="A13" t="str">
            <v xml:space="preserve">375.00 00210000     </v>
          </cell>
          <cell r="B13">
            <v>40148</v>
          </cell>
          <cell r="C13">
            <v>55</v>
          </cell>
          <cell r="D13" t="str">
            <v xml:space="preserve">R1.5 </v>
          </cell>
          <cell r="E13">
            <v>0</v>
          </cell>
          <cell r="F13">
            <v>2980.16</v>
          </cell>
          <cell r="G13">
            <v>3591</v>
          </cell>
          <cell r="H13">
            <v>-611</v>
          </cell>
          <cell r="I13">
            <v>0</v>
          </cell>
          <cell r="J13">
            <v>0</v>
          </cell>
          <cell r="K13">
            <v>0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120.5</v>
          </cell>
          <cell r="P13">
            <v>43.3</v>
          </cell>
          <cell r="Q13">
            <v>2815</v>
          </cell>
          <cell r="R13">
            <v>75</v>
          </cell>
          <cell r="S13">
            <v>2.52</v>
          </cell>
        </row>
        <row r="14">
          <cell r="A14" t="str">
            <v xml:space="preserve">375.00 00230000     </v>
          </cell>
          <cell r="B14">
            <v>43435</v>
          </cell>
          <cell r="C14">
            <v>55</v>
          </cell>
          <cell r="D14" t="str">
            <v xml:space="preserve">R1.5 </v>
          </cell>
          <cell r="E14">
            <v>0</v>
          </cell>
          <cell r="F14">
            <v>9832.89</v>
          </cell>
          <cell r="G14">
            <v>9262</v>
          </cell>
          <cell r="H14">
            <v>571</v>
          </cell>
          <cell r="I14">
            <v>55</v>
          </cell>
          <cell r="J14">
            <v>0.56000000000000005</v>
          </cell>
          <cell r="K14">
            <v>10.4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94.2</v>
          </cell>
          <cell r="P14">
            <v>34.299999999999997</v>
          </cell>
          <cell r="Q14">
            <v>7260</v>
          </cell>
          <cell r="R14">
            <v>247</v>
          </cell>
          <cell r="S14">
            <v>2.5099999999999998</v>
          </cell>
        </row>
        <row r="15">
          <cell r="A15" t="str">
            <v xml:space="preserve">375.00 00240000     </v>
          </cell>
          <cell r="B15">
            <v>42705</v>
          </cell>
          <cell r="C15">
            <v>55</v>
          </cell>
          <cell r="D15" t="str">
            <v xml:space="preserve">R1.5 </v>
          </cell>
          <cell r="E15">
            <v>0</v>
          </cell>
          <cell r="F15">
            <v>12354.87</v>
          </cell>
          <cell r="G15">
            <v>11498</v>
          </cell>
          <cell r="H15">
            <v>857</v>
          </cell>
          <cell r="I15">
            <v>95</v>
          </cell>
          <cell r="J15">
            <v>0.77</v>
          </cell>
          <cell r="K15">
            <v>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93.1</v>
          </cell>
          <cell r="P15">
            <v>30.6</v>
          </cell>
          <cell r="Q15">
            <v>9013</v>
          </cell>
          <cell r="R15">
            <v>380</v>
          </cell>
          <cell r="S15">
            <v>3.08</v>
          </cell>
        </row>
        <row r="16">
          <cell r="A16" t="str">
            <v xml:space="preserve">375.00 00250000     </v>
          </cell>
          <cell r="B16">
            <v>43435</v>
          </cell>
          <cell r="C16">
            <v>55</v>
          </cell>
          <cell r="D16" t="str">
            <v xml:space="preserve">R1.5 </v>
          </cell>
          <cell r="E16">
            <v>0</v>
          </cell>
          <cell r="F16">
            <v>8778.07</v>
          </cell>
          <cell r="G16">
            <v>5028</v>
          </cell>
          <cell r="H16">
            <v>3751</v>
          </cell>
          <cell r="I16">
            <v>344</v>
          </cell>
          <cell r="J16">
            <v>3.92</v>
          </cell>
          <cell r="K16">
            <v>10.9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57.3</v>
          </cell>
          <cell r="P16">
            <v>14.8</v>
          </cell>
          <cell r="Q16">
            <v>3941</v>
          </cell>
          <cell r="R16">
            <v>444</v>
          </cell>
          <cell r="S16">
            <v>5.0599999999999996</v>
          </cell>
        </row>
        <row r="17">
          <cell r="A17" t="str">
            <v xml:space="preserve">375.00 00260000     </v>
          </cell>
          <cell r="B17">
            <v>43435</v>
          </cell>
          <cell r="C17">
            <v>55</v>
          </cell>
          <cell r="D17" t="str">
            <v xml:space="preserve">R1.5 </v>
          </cell>
          <cell r="E17">
            <v>0</v>
          </cell>
          <cell r="F17">
            <v>13855.77</v>
          </cell>
          <cell r="G17">
            <v>10409</v>
          </cell>
          <cell r="H17">
            <v>3447</v>
          </cell>
          <cell r="I17">
            <v>317</v>
          </cell>
          <cell r="J17">
            <v>2.29</v>
          </cell>
          <cell r="K17">
            <v>10.9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75.099999999999994</v>
          </cell>
          <cell r="P17">
            <v>24</v>
          </cell>
          <cell r="Q17">
            <v>8159</v>
          </cell>
          <cell r="R17">
            <v>530</v>
          </cell>
          <cell r="S17">
            <v>3.83</v>
          </cell>
        </row>
        <row r="18">
          <cell r="A18" t="str">
            <v xml:space="preserve">375.00 00270000     </v>
          </cell>
          <cell r="B18">
            <v>42339</v>
          </cell>
          <cell r="C18">
            <v>55</v>
          </cell>
          <cell r="D18" t="str">
            <v xml:space="preserve">R1.5 </v>
          </cell>
          <cell r="E18">
            <v>0</v>
          </cell>
          <cell r="F18">
            <v>690.3</v>
          </cell>
          <cell r="G18">
            <v>730</v>
          </cell>
          <cell r="H18">
            <v>-40</v>
          </cell>
          <cell r="I18">
            <v>0</v>
          </cell>
          <cell r="J18">
            <v>0</v>
          </cell>
          <cell r="K18">
            <v>0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105.8</v>
          </cell>
          <cell r="P18">
            <v>44.3</v>
          </cell>
          <cell r="Q18">
            <v>572</v>
          </cell>
          <cell r="R18">
            <v>16</v>
          </cell>
          <cell r="S18">
            <v>2.3199999999999998</v>
          </cell>
        </row>
        <row r="19">
          <cell r="A19" t="str">
            <v xml:space="preserve">375.00 00280000     </v>
          </cell>
          <cell r="B19">
            <v>42705</v>
          </cell>
          <cell r="C19">
            <v>55</v>
          </cell>
          <cell r="D19" t="str">
            <v xml:space="preserve">R1.5 </v>
          </cell>
          <cell r="E19">
            <v>0</v>
          </cell>
          <cell r="F19">
            <v>9592.74</v>
          </cell>
          <cell r="G19">
            <v>9579</v>
          </cell>
          <cell r="H19">
            <v>14</v>
          </cell>
          <cell r="I19">
            <v>2</v>
          </cell>
          <cell r="J19">
            <v>0.02</v>
          </cell>
          <cell r="K19">
            <v>7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99.9</v>
          </cell>
          <cell r="P19">
            <v>36.299999999999997</v>
          </cell>
          <cell r="Q19">
            <v>7509</v>
          </cell>
          <cell r="R19">
            <v>241</v>
          </cell>
          <cell r="S19">
            <v>2.5099999999999998</v>
          </cell>
        </row>
        <row r="20">
          <cell r="A20" t="str">
            <v xml:space="preserve">375.00 00290000     </v>
          </cell>
          <cell r="B20">
            <v>54027</v>
          </cell>
          <cell r="C20">
            <v>55</v>
          </cell>
          <cell r="D20" t="str">
            <v xml:space="preserve">R1.5 </v>
          </cell>
          <cell r="E20">
            <v>0</v>
          </cell>
          <cell r="F20">
            <v>8668.67</v>
          </cell>
          <cell r="G20">
            <v>2654</v>
          </cell>
          <cell r="H20">
            <v>6015</v>
          </cell>
          <cell r="I20">
            <v>180</v>
          </cell>
          <cell r="J20">
            <v>2.08</v>
          </cell>
          <cell r="K20">
            <v>33.4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30.6</v>
          </cell>
          <cell r="P20">
            <v>15.2</v>
          </cell>
          <cell r="Q20">
            <v>2080</v>
          </cell>
          <cell r="R20">
            <v>201</v>
          </cell>
          <cell r="S20">
            <v>2.3199999999999998</v>
          </cell>
        </row>
        <row r="21">
          <cell r="A21" t="str">
            <v xml:space="preserve">375.00 00300000     </v>
          </cell>
          <cell r="B21">
            <v>41244</v>
          </cell>
          <cell r="C21">
            <v>55</v>
          </cell>
          <cell r="D21" t="str">
            <v xml:space="preserve">R1.5 </v>
          </cell>
          <cell r="E21">
            <v>0</v>
          </cell>
          <cell r="F21">
            <v>17260.810000000001</v>
          </cell>
          <cell r="G21">
            <v>19237</v>
          </cell>
          <cell r="H21">
            <v>-1976</v>
          </cell>
          <cell r="I21">
            <v>0</v>
          </cell>
          <cell r="J21">
            <v>0</v>
          </cell>
          <cell r="K21">
            <v>0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111.4</v>
          </cell>
          <cell r="P21">
            <v>40.299999999999997</v>
          </cell>
          <cell r="Q21">
            <v>15079</v>
          </cell>
          <cell r="R21">
            <v>433</v>
          </cell>
          <cell r="S21">
            <v>2.5099999999999998</v>
          </cell>
        </row>
        <row r="22">
          <cell r="A22" t="str">
            <v xml:space="preserve">375.00 00310000     </v>
          </cell>
          <cell r="B22">
            <v>41609</v>
          </cell>
          <cell r="C22">
            <v>55</v>
          </cell>
          <cell r="D22" t="str">
            <v xml:space="preserve">R1.5 </v>
          </cell>
          <cell r="E22">
            <v>0</v>
          </cell>
          <cell r="F22">
            <v>5093.8599999999997</v>
          </cell>
          <cell r="G22">
            <v>5003</v>
          </cell>
          <cell r="H22">
            <v>91</v>
          </cell>
          <cell r="I22">
            <v>15</v>
          </cell>
          <cell r="J22">
            <v>0.28999999999999998</v>
          </cell>
          <cell r="K22">
            <v>6.1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98.2</v>
          </cell>
          <cell r="P22">
            <v>28.1</v>
          </cell>
          <cell r="Q22">
            <v>3922</v>
          </cell>
          <cell r="R22">
            <v>193</v>
          </cell>
          <cell r="S22">
            <v>3.79</v>
          </cell>
        </row>
        <row r="23">
          <cell r="A23" t="str">
            <v xml:space="preserve">375.00 00320000     </v>
          </cell>
          <cell r="B23">
            <v>51105</v>
          </cell>
          <cell r="C23">
            <v>55</v>
          </cell>
          <cell r="D23" t="str">
            <v xml:space="preserve">R1.5 </v>
          </cell>
          <cell r="E23">
            <v>0</v>
          </cell>
          <cell r="F23">
            <v>14723.61</v>
          </cell>
          <cell r="G23">
            <v>5387</v>
          </cell>
          <cell r="H23">
            <v>9337</v>
          </cell>
          <cell r="I23">
            <v>329</v>
          </cell>
          <cell r="J23">
            <v>2.23</v>
          </cell>
          <cell r="K23">
            <v>28.4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36.6</v>
          </cell>
          <cell r="P23">
            <v>13.3</v>
          </cell>
          <cell r="Q23">
            <v>4223</v>
          </cell>
          <cell r="R23">
            <v>370</v>
          </cell>
          <cell r="S23">
            <v>2.5099999999999998</v>
          </cell>
        </row>
        <row r="24">
          <cell r="A24" t="str">
            <v xml:space="preserve">375.00 00330000     </v>
          </cell>
          <cell r="B24">
            <v>41244</v>
          </cell>
          <cell r="C24">
            <v>55</v>
          </cell>
          <cell r="D24" t="str">
            <v xml:space="preserve">R1.5 </v>
          </cell>
          <cell r="E24">
            <v>0</v>
          </cell>
          <cell r="F24">
            <v>1549.58</v>
          </cell>
          <cell r="G24">
            <v>1727</v>
          </cell>
          <cell r="H24">
            <v>-177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111.4</v>
          </cell>
          <cell r="P24">
            <v>40.299999999999997</v>
          </cell>
          <cell r="Q24">
            <v>1354</v>
          </cell>
          <cell r="R24">
            <v>39</v>
          </cell>
          <cell r="S24">
            <v>2.52</v>
          </cell>
        </row>
        <row r="25">
          <cell r="A25" t="str">
            <v xml:space="preserve">375.00 00340000     </v>
          </cell>
          <cell r="B25">
            <v>46722</v>
          </cell>
          <cell r="C25">
            <v>55</v>
          </cell>
          <cell r="D25" t="str">
            <v xml:space="preserve">R1.5 </v>
          </cell>
          <cell r="E25">
            <v>0</v>
          </cell>
          <cell r="F25">
            <v>29305.57</v>
          </cell>
          <cell r="G25">
            <v>19258</v>
          </cell>
          <cell r="H25">
            <v>10048</v>
          </cell>
          <cell r="I25">
            <v>547</v>
          </cell>
          <cell r="J25">
            <v>1.87</v>
          </cell>
          <cell r="K25">
            <v>18.399999999999999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65.7</v>
          </cell>
          <cell r="P25">
            <v>28.4</v>
          </cell>
          <cell r="Q25">
            <v>15096</v>
          </cell>
          <cell r="R25">
            <v>797</v>
          </cell>
          <cell r="S25">
            <v>2.72</v>
          </cell>
        </row>
        <row r="26">
          <cell r="A26" t="str">
            <v xml:space="preserve">375.00 00350000     </v>
          </cell>
          <cell r="B26">
            <v>46357</v>
          </cell>
          <cell r="C26">
            <v>55</v>
          </cell>
          <cell r="D26" t="str">
            <v xml:space="preserve">R1.5 </v>
          </cell>
          <cell r="E26">
            <v>0</v>
          </cell>
          <cell r="F26">
            <v>20048.48</v>
          </cell>
          <cell r="G26">
            <v>12690</v>
          </cell>
          <cell r="H26">
            <v>7358</v>
          </cell>
          <cell r="I26">
            <v>416</v>
          </cell>
          <cell r="J26">
            <v>2.0699999999999998</v>
          </cell>
          <cell r="K26">
            <v>17.7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63.3</v>
          </cell>
          <cell r="P26">
            <v>21.9</v>
          </cell>
          <cell r="Q26">
            <v>9947</v>
          </cell>
          <cell r="R26">
            <v>573</v>
          </cell>
          <cell r="S26">
            <v>2.86</v>
          </cell>
        </row>
        <row r="27">
          <cell r="A27" t="str">
            <v xml:space="preserve">375.00 00360000     </v>
          </cell>
          <cell r="B27">
            <v>43800</v>
          </cell>
          <cell r="C27">
            <v>55</v>
          </cell>
          <cell r="D27" t="str">
            <v xml:space="preserve">R1.5 </v>
          </cell>
          <cell r="E27">
            <v>0</v>
          </cell>
          <cell r="F27">
            <v>3910.02</v>
          </cell>
          <cell r="G27">
            <v>3719</v>
          </cell>
          <cell r="H27">
            <v>191</v>
          </cell>
          <cell r="I27">
            <v>17</v>
          </cell>
          <cell r="J27">
            <v>0.43</v>
          </cell>
          <cell r="K27">
            <v>11.2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95.1</v>
          </cell>
          <cell r="P27">
            <v>40.5</v>
          </cell>
          <cell r="Q27">
            <v>2915</v>
          </cell>
          <cell r="R27">
            <v>91</v>
          </cell>
          <cell r="S27">
            <v>2.33</v>
          </cell>
        </row>
        <row r="28">
          <cell r="A28" t="str">
            <v xml:space="preserve">375.00 00370000     </v>
          </cell>
          <cell r="B28">
            <v>44531</v>
          </cell>
          <cell r="C28">
            <v>55</v>
          </cell>
          <cell r="D28" t="str">
            <v xml:space="preserve">R1.5 </v>
          </cell>
          <cell r="E28">
            <v>0</v>
          </cell>
          <cell r="F28">
            <v>7301.09</v>
          </cell>
          <cell r="G28">
            <v>4696</v>
          </cell>
          <cell r="H28">
            <v>2605</v>
          </cell>
          <cell r="I28">
            <v>191</v>
          </cell>
          <cell r="J28">
            <v>2.62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64.3</v>
          </cell>
          <cell r="P28">
            <v>22.5</v>
          </cell>
          <cell r="Q28">
            <v>3681</v>
          </cell>
          <cell r="R28">
            <v>270</v>
          </cell>
          <cell r="S28">
            <v>3.7</v>
          </cell>
        </row>
        <row r="29">
          <cell r="A29" t="str">
            <v xml:space="preserve">375.00 00380000     </v>
          </cell>
          <cell r="B29">
            <v>42339</v>
          </cell>
          <cell r="C29">
            <v>55</v>
          </cell>
          <cell r="D29" t="str">
            <v xml:space="preserve">R1.5 </v>
          </cell>
          <cell r="E29">
            <v>0</v>
          </cell>
          <cell r="F29">
            <v>14864.07</v>
          </cell>
          <cell r="G29">
            <v>13687</v>
          </cell>
          <cell r="H29">
            <v>1177</v>
          </cell>
          <cell r="I29">
            <v>145</v>
          </cell>
          <cell r="J29">
            <v>0.98</v>
          </cell>
          <cell r="K29">
            <v>8.1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92.1</v>
          </cell>
          <cell r="P29">
            <v>30.8</v>
          </cell>
          <cell r="Q29">
            <v>10729</v>
          </cell>
          <cell r="R29">
            <v>523</v>
          </cell>
          <cell r="S29">
            <v>3.52</v>
          </cell>
        </row>
        <row r="30">
          <cell r="A30" t="str">
            <v xml:space="preserve">375.00 00400000     </v>
          </cell>
          <cell r="B30">
            <v>42705</v>
          </cell>
          <cell r="C30">
            <v>55</v>
          </cell>
          <cell r="D30" t="str">
            <v xml:space="preserve">R1.5 </v>
          </cell>
          <cell r="E30">
            <v>0</v>
          </cell>
          <cell r="F30">
            <v>11199.51</v>
          </cell>
          <cell r="G30">
            <v>9622</v>
          </cell>
          <cell r="H30">
            <v>1578</v>
          </cell>
          <cell r="I30">
            <v>174</v>
          </cell>
          <cell r="J30">
            <v>1.55</v>
          </cell>
          <cell r="K30">
            <v>9.1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85.9</v>
          </cell>
          <cell r="P30">
            <v>28.6</v>
          </cell>
          <cell r="Q30">
            <v>7542</v>
          </cell>
          <cell r="R30">
            <v>413</v>
          </cell>
          <cell r="S30">
            <v>3.69</v>
          </cell>
        </row>
        <row r="31">
          <cell r="A31" t="str">
            <v xml:space="preserve">375.00 00410000     </v>
          </cell>
          <cell r="B31">
            <v>42339</v>
          </cell>
          <cell r="C31">
            <v>55</v>
          </cell>
          <cell r="D31" t="str">
            <v xml:space="preserve">R1.5 </v>
          </cell>
          <cell r="E31">
            <v>0</v>
          </cell>
          <cell r="F31">
            <v>14781.45</v>
          </cell>
          <cell r="G31">
            <v>13509</v>
          </cell>
          <cell r="H31">
            <v>1273</v>
          </cell>
          <cell r="I31">
            <v>157</v>
          </cell>
          <cell r="J31">
            <v>1.06</v>
          </cell>
          <cell r="K31">
            <v>8.1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91.4</v>
          </cell>
          <cell r="P31">
            <v>30.2</v>
          </cell>
          <cell r="Q31">
            <v>10589</v>
          </cell>
          <cell r="R31">
            <v>530</v>
          </cell>
          <cell r="S31">
            <v>3.59</v>
          </cell>
        </row>
        <row r="32">
          <cell r="A32" t="str">
            <v xml:space="preserve">375.00 00420000     </v>
          </cell>
          <cell r="B32">
            <v>42339</v>
          </cell>
          <cell r="C32">
            <v>55</v>
          </cell>
          <cell r="D32" t="str">
            <v xml:space="preserve">R1.5 </v>
          </cell>
          <cell r="E32">
            <v>0</v>
          </cell>
          <cell r="F32">
            <v>6161.24</v>
          </cell>
          <cell r="G32">
            <v>6329</v>
          </cell>
          <cell r="H32">
            <v>-168</v>
          </cell>
          <cell r="I32">
            <v>0</v>
          </cell>
          <cell r="J32">
            <v>0</v>
          </cell>
          <cell r="K32">
            <v>0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102.7</v>
          </cell>
          <cell r="P32">
            <v>37.299999999999997</v>
          </cell>
          <cell r="Q32">
            <v>4961</v>
          </cell>
          <cell r="R32">
            <v>155</v>
          </cell>
          <cell r="S32">
            <v>2.52</v>
          </cell>
        </row>
        <row r="33">
          <cell r="A33" t="str">
            <v xml:space="preserve">375.00 00430000     </v>
          </cell>
          <cell r="B33">
            <v>54027</v>
          </cell>
          <cell r="C33">
            <v>55</v>
          </cell>
          <cell r="D33" t="str">
            <v xml:space="preserve">R1.5 </v>
          </cell>
          <cell r="E33">
            <v>0</v>
          </cell>
          <cell r="F33">
            <v>13508.25</v>
          </cell>
          <cell r="G33">
            <v>4216</v>
          </cell>
          <cell r="H33">
            <v>9293</v>
          </cell>
          <cell r="I33">
            <v>280</v>
          </cell>
          <cell r="J33">
            <v>2.0699999999999998</v>
          </cell>
          <cell r="K33">
            <v>33.200000000000003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31.2</v>
          </cell>
          <cell r="P33">
            <v>16</v>
          </cell>
          <cell r="Q33">
            <v>3305</v>
          </cell>
          <cell r="R33">
            <v>314</v>
          </cell>
          <cell r="S33">
            <v>2.3199999999999998</v>
          </cell>
        </row>
        <row r="34">
          <cell r="A34" t="str">
            <v xml:space="preserve">375.00 00440000     </v>
          </cell>
          <cell r="B34">
            <v>41974</v>
          </cell>
          <cell r="C34">
            <v>55</v>
          </cell>
          <cell r="D34" t="str">
            <v xml:space="preserve">R1.5 </v>
          </cell>
          <cell r="E34">
            <v>0</v>
          </cell>
          <cell r="F34">
            <v>8523.89</v>
          </cell>
          <cell r="G34">
            <v>6659</v>
          </cell>
          <cell r="H34">
            <v>1865</v>
          </cell>
          <cell r="I34">
            <v>262</v>
          </cell>
          <cell r="J34">
            <v>3.07</v>
          </cell>
          <cell r="K34">
            <v>7.1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78.099999999999994</v>
          </cell>
          <cell r="P34">
            <v>18.899999999999999</v>
          </cell>
          <cell r="Q34">
            <v>5220</v>
          </cell>
          <cell r="R34">
            <v>467</v>
          </cell>
          <cell r="S34">
            <v>5.48</v>
          </cell>
        </row>
        <row r="35">
          <cell r="A35" t="str">
            <v xml:space="preserve">375.00 00450000     </v>
          </cell>
          <cell r="B35">
            <v>43435</v>
          </cell>
          <cell r="C35">
            <v>55</v>
          </cell>
          <cell r="D35" t="str">
            <v xml:space="preserve">R1.5 </v>
          </cell>
          <cell r="E35">
            <v>0</v>
          </cell>
          <cell r="F35">
            <v>9864.89</v>
          </cell>
          <cell r="G35">
            <v>9291</v>
          </cell>
          <cell r="H35">
            <v>574</v>
          </cell>
          <cell r="I35">
            <v>55</v>
          </cell>
          <cell r="J35">
            <v>0.56000000000000005</v>
          </cell>
          <cell r="K35">
            <v>10.4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94.2</v>
          </cell>
          <cell r="P35">
            <v>34.299999999999997</v>
          </cell>
          <cell r="Q35">
            <v>7283</v>
          </cell>
          <cell r="R35">
            <v>248</v>
          </cell>
          <cell r="S35">
            <v>2.5099999999999998</v>
          </cell>
        </row>
        <row r="36">
          <cell r="A36" t="str">
            <v xml:space="preserve">375.00 00460000     </v>
          </cell>
          <cell r="B36">
            <v>42339</v>
          </cell>
          <cell r="C36">
            <v>55</v>
          </cell>
          <cell r="D36" t="str">
            <v xml:space="preserve">R1.5 </v>
          </cell>
          <cell r="E36">
            <v>0</v>
          </cell>
          <cell r="F36">
            <v>9413.2900000000009</v>
          </cell>
          <cell r="G36">
            <v>8119</v>
          </cell>
          <cell r="H36">
            <v>1294</v>
          </cell>
          <cell r="I36">
            <v>160</v>
          </cell>
          <cell r="J36">
            <v>1.7</v>
          </cell>
          <cell r="K36">
            <v>8.1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86.3</v>
          </cell>
          <cell r="P36">
            <v>27.1</v>
          </cell>
          <cell r="Q36">
            <v>6364</v>
          </cell>
          <cell r="R36">
            <v>383</v>
          </cell>
          <cell r="S36">
            <v>4.07</v>
          </cell>
        </row>
        <row r="37">
          <cell r="A37" t="str">
            <v xml:space="preserve">375.00 00470000     </v>
          </cell>
          <cell r="B37">
            <v>54027</v>
          </cell>
          <cell r="C37">
            <v>55</v>
          </cell>
          <cell r="D37" t="str">
            <v xml:space="preserve">R1.5 </v>
          </cell>
          <cell r="E37">
            <v>0</v>
          </cell>
          <cell r="F37">
            <v>5749.58</v>
          </cell>
          <cell r="G37">
            <v>2289</v>
          </cell>
          <cell r="H37">
            <v>3461</v>
          </cell>
          <cell r="I37">
            <v>108</v>
          </cell>
          <cell r="J37">
            <v>1.88</v>
          </cell>
          <cell r="K37">
            <v>32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39.799999999999997</v>
          </cell>
          <cell r="P37">
            <v>21.1</v>
          </cell>
          <cell r="Q37">
            <v>1794</v>
          </cell>
          <cell r="R37">
            <v>128</v>
          </cell>
          <cell r="S37">
            <v>2.23</v>
          </cell>
        </row>
        <row r="38">
          <cell r="A38" t="str">
            <v xml:space="preserve">375.00 00480000     </v>
          </cell>
          <cell r="B38">
            <v>39783</v>
          </cell>
          <cell r="C38">
            <v>55</v>
          </cell>
          <cell r="D38" t="str">
            <v xml:space="preserve">R1.5 </v>
          </cell>
          <cell r="E38">
            <v>0</v>
          </cell>
          <cell r="F38">
            <v>6790.07</v>
          </cell>
          <cell r="G38">
            <v>8195</v>
          </cell>
          <cell r="H38">
            <v>-1405</v>
          </cell>
          <cell r="I38">
            <v>0</v>
          </cell>
          <cell r="J38">
            <v>0</v>
          </cell>
          <cell r="K38">
            <v>0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120.7</v>
          </cell>
          <cell r="P38">
            <v>37.200000000000003</v>
          </cell>
          <cell r="Q38">
            <v>6424</v>
          </cell>
          <cell r="R38">
            <v>294</v>
          </cell>
          <cell r="S38">
            <v>4.33</v>
          </cell>
        </row>
        <row r="39">
          <cell r="A39" t="str">
            <v xml:space="preserve">375.00 00490000     </v>
          </cell>
          <cell r="B39">
            <v>40148</v>
          </cell>
          <cell r="C39">
            <v>55</v>
          </cell>
          <cell r="D39" t="str">
            <v xml:space="preserve">R1.5 </v>
          </cell>
          <cell r="E39">
            <v>0</v>
          </cell>
          <cell r="F39">
            <v>2256.4499999999998</v>
          </cell>
          <cell r="G39">
            <v>2716</v>
          </cell>
          <cell r="H39">
            <v>-460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120.4</v>
          </cell>
          <cell r="P39">
            <v>42.3</v>
          </cell>
          <cell r="Q39">
            <v>2129</v>
          </cell>
          <cell r="R39">
            <v>58</v>
          </cell>
          <cell r="S39">
            <v>2.57</v>
          </cell>
        </row>
        <row r="40">
          <cell r="A40" t="str">
            <v xml:space="preserve">375.00 00500000     </v>
          </cell>
          <cell r="B40">
            <v>40513</v>
          </cell>
          <cell r="C40">
            <v>55</v>
          </cell>
          <cell r="D40" t="str">
            <v xml:space="preserve">R1.5 </v>
          </cell>
          <cell r="E40">
            <v>0</v>
          </cell>
          <cell r="F40">
            <v>3654.36</v>
          </cell>
          <cell r="G40">
            <v>3936</v>
          </cell>
          <cell r="H40">
            <v>-281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107.7</v>
          </cell>
          <cell r="P40">
            <v>30.5</v>
          </cell>
          <cell r="Q40">
            <v>3085</v>
          </cell>
          <cell r="R40">
            <v>177</v>
          </cell>
          <cell r="S40">
            <v>4.84</v>
          </cell>
        </row>
        <row r="41">
          <cell r="A41" t="str">
            <v xml:space="preserve">375.00 00510000     </v>
          </cell>
          <cell r="B41">
            <v>40513</v>
          </cell>
          <cell r="C41">
            <v>55</v>
          </cell>
          <cell r="D41" t="str">
            <v xml:space="preserve">R1.5 </v>
          </cell>
          <cell r="E41">
            <v>0</v>
          </cell>
          <cell r="F41">
            <v>6058.79</v>
          </cell>
          <cell r="G41">
            <v>5898</v>
          </cell>
          <cell r="H41">
            <v>161</v>
          </cell>
          <cell r="I41">
            <v>50</v>
          </cell>
          <cell r="J41">
            <v>0.83</v>
          </cell>
          <cell r="K41">
            <v>3.2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97.3</v>
          </cell>
          <cell r="P41">
            <v>19.8</v>
          </cell>
          <cell r="Q41">
            <v>4623</v>
          </cell>
          <cell r="R41">
            <v>446</v>
          </cell>
          <cell r="S41">
            <v>7.36</v>
          </cell>
        </row>
        <row r="42">
          <cell r="A42" t="str">
            <v xml:space="preserve">375.00 00560000     </v>
          </cell>
          <cell r="B42">
            <v>46722</v>
          </cell>
          <cell r="C42">
            <v>55</v>
          </cell>
          <cell r="D42" t="str">
            <v xml:space="preserve">R1.5 </v>
          </cell>
          <cell r="E42">
            <v>0</v>
          </cell>
          <cell r="F42">
            <v>15230.57</v>
          </cell>
          <cell r="G42">
            <v>9929</v>
          </cell>
          <cell r="H42">
            <v>5302</v>
          </cell>
          <cell r="I42">
            <v>289</v>
          </cell>
          <cell r="J42">
            <v>1.9</v>
          </cell>
          <cell r="K42">
            <v>18.3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65.2</v>
          </cell>
          <cell r="P42">
            <v>25.6</v>
          </cell>
          <cell r="Q42">
            <v>7783</v>
          </cell>
          <cell r="R42">
            <v>411</v>
          </cell>
          <cell r="S42">
            <v>2.7</v>
          </cell>
        </row>
        <row r="43">
          <cell r="A43" t="str">
            <v xml:space="preserve">375.00 00590000     </v>
          </cell>
          <cell r="B43">
            <v>41974</v>
          </cell>
          <cell r="C43">
            <v>55</v>
          </cell>
          <cell r="D43" t="str">
            <v xml:space="preserve">R1.5 </v>
          </cell>
          <cell r="E43">
            <v>0</v>
          </cell>
          <cell r="F43">
            <v>11120.5</v>
          </cell>
          <cell r="G43">
            <v>9035</v>
          </cell>
          <cell r="H43">
            <v>2086</v>
          </cell>
          <cell r="I43">
            <v>292</v>
          </cell>
          <cell r="J43">
            <v>2.63</v>
          </cell>
          <cell r="K43">
            <v>7.1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81.2</v>
          </cell>
          <cell r="P43">
            <v>22.3</v>
          </cell>
          <cell r="Q43">
            <v>7082</v>
          </cell>
          <cell r="R43">
            <v>571</v>
          </cell>
          <cell r="S43">
            <v>5.13</v>
          </cell>
        </row>
        <row r="44">
          <cell r="A44" t="str">
            <v xml:space="preserve">375.00 00620000     </v>
          </cell>
          <cell r="B44">
            <v>41974</v>
          </cell>
          <cell r="C44">
            <v>55</v>
          </cell>
          <cell r="D44" t="str">
            <v xml:space="preserve">R1.5 </v>
          </cell>
          <cell r="E44">
            <v>0</v>
          </cell>
          <cell r="F44">
            <v>4163.1000000000004</v>
          </cell>
          <cell r="G44">
            <v>1994</v>
          </cell>
          <cell r="H44">
            <v>2169</v>
          </cell>
          <cell r="I44">
            <v>303</v>
          </cell>
          <cell r="J44">
            <v>7.28</v>
          </cell>
          <cell r="K44">
            <v>7.2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47.9</v>
          </cell>
          <cell r="P44">
            <v>17.600000000000001</v>
          </cell>
          <cell r="Q44">
            <v>1709</v>
          </cell>
          <cell r="R44">
            <v>345</v>
          </cell>
          <cell r="S44">
            <v>8.2899999999999991</v>
          </cell>
        </row>
        <row r="45">
          <cell r="A45" t="str">
            <v xml:space="preserve">375.00 00640000     </v>
          </cell>
          <cell r="B45">
            <v>54027</v>
          </cell>
          <cell r="C45">
            <v>55</v>
          </cell>
          <cell r="D45" t="str">
            <v xml:space="preserve">R1.5 </v>
          </cell>
          <cell r="E45">
            <v>0</v>
          </cell>
          <cell r="F45">
            <v>9079.5499999999993</v>
          </cell>
          <cell r="G45">
            <v>2842</v>
          </cell>
          <cell r="H45">
            <v>6238</v>
          </cell>
          <cell r="I45">
            <v>185</v>
          </cell>
          <cell r="J45">
            <v>2.04</v>
          </cell>
          <cell r="K45">
            <v>33.700000000000003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31.3</v>
          </cell>
          <cell r="P45">
            <v>16.399999999999999</v>
          </cell>
          <cell r="Q45">
            <v>2228</v>
          </cell>
          <cell r="R45">
            <v>212</v>
          </cell>
          <cell r="S45">
            <v>2.33</v>
          </cell>
        </row>
        <row r="46">
          <cell r="A46" t="str">
            <v xml:space="preserve">375.00 00660000     </v>
          </cell>
          <cell r="B46">
            <v>42339</v>
          </cell>
          <cell r="C46">
            <v>55</v>
          </cell>
          <cell r="D46" t="str">
            <v xml:space="preserve">R1.5 </v>
          </cell>
          <cell r="E46">
            <v>0</v>
          </cell>
          <cell r="F46">
            <v>10799.19</v>
          </cell>
          <cell r="G46">
            <v>10000</v>
          </cell>
          <cell r="H46">
            <v>799</v>
          </cell>
          <cell r="I46">
            <v>99</v>
          </cell>
          <cell r="J46">
            <v>0.92</v>
          </cell>
          <cell r="K46">
            <v>8.1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92.6</v>
          </cell>
          <cell r="P46">
            <v>30.2</v>
          </cell>
          <cell r="Q46">
            <v>7839</v>
          </cell>
          <cell r="R46">
            <v>374</v>
          </cell>
          <cell r="S46">
            <v>3.46</v>
          </cell>
        </row>
        <row r="47">
          <cell r="A47" t="str">
            <v xml:space="preserve">375.00 00670000     </v>
          </cell>
          <cell r="B47">
            <v>42339</v>
          </cell>
          <cell r="C47">
            <v>55</v>
          </cell>
          <cell r="D47" t="str">
            <v xml:space="preserve">R1.5 </v>
          </cell>
          <cell r="E47">
            <v>0</v>
          </cell>
          <cell r="F47">
            <v>6989.08</v>
          </cell>
          <cell r="G47">
            <v>6862</v>
          </cell>
          <cell r="H47">
            <v>127</v>
          </cell>
          <cell r="I47">
            <v>16</v>
          </cell>
          <cell r="J47">
            <v>0.23</v>
          </cell>
          <cell r="K47">
            <v>7.9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98.2</v>
          </cell>
          <cell r="P47">
            <v>34.1</v>
          </cell>
          <cell r="Q47">
            <v>5379</v>
          </cell>
          <cell r="R47">
            <v>205</v>
          </cell>
          <cell r="S47">
            <v>2.93</v>
          </cell>
        </row>
        <row r="48">
          <cell r="A48" t="str">
            <v xml:space="preserve">375.00 00680000     </v>
          </cell>
          <cell r="B48">
            <v>40513</v>
          </cell>
          <cell r="C48">
            <v>55</v>
          </cell>
          <cell r="D48" t="str">
            <v xml:space="preserve">R1.5 </v>
          </cell>
          <cell r="E48">
            <v>0</v>
          </cell>
          <cell r="F48">
            <v>6531.13</v>
          </cell>
          <cell r="G48">
            <v>6241</v>
          </cell>
          <cell r="H48">
            <v>290</v>
          </cell>
          <cell r="I48">
            <v>90</v>
          </cell>
          <cell r="J48">
            <v>1.38</v>
          </cell>
          <cell r="K48">
            <v>3.2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95.6</v>
          </cell>
          <cell r="P48">
            <v>18.399999999999999</v>
          </cell>
          <cell r="Q48">
            <v>4892</v>
          </cell>
          <cell r="R48">
            <v>509</v>
          </cell>
          <cell r="S48">
            <v>7.79</v>
          </cell>
        </row>
        <row r="49">
          <cell r="A49" t="str">
            <v xml:space="preserve">375.00 00720000     </v>
          </cell>
          <cell r="B49">
            <v>53297</v>
          </cell>
          <cell r="C49">
            <v>55</v>
          </cell>
          <cell r="D49" t="str">
            <v xml:space="preserve">R1.5 </v>
          </cell>
          <cell r="E49">
            <v>0</v>
          </cell>
          <cell r="F49">
            <v>2279.36</v>
          </cell>
          <cell r="G49">
            <v>477</v>
          </cell>
          <cell r="H49">
            <v>1802</v>
          </cell>
          <cell r="I49">
            <v>54</v>
          </cell>
          <cell r="J49">
            <v>2.37</v>
          </cell>
          <cell r="K49">
            <v>33.4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20.9</v>
          </cell>
          <cell r="P49">
            <v>7.6</v>
          </cell>
          <cell r="Q49">
            <v>374</v>
          </cell>
          <cell r="R49">
            <v>57</v>
          </cell>
          <cell r="S49">
            <v>2.5</v>
          </cell>
        </row>
        <row r="50">
          <cell r="A50" t="str">
            <v xml:space="preserve">375.00 00740000     </v>
          </cell>
          <cell r="B50">
            <v>43435</v>
          </cell>
          <cell r="C50">
            <v>55</v>
          </cell>
          <cell r="D50" t="str">
            <v xml:space="preserve">R1.5 </v>
          </cell>
          <cell r="E50">
            <v>0</v>
          </cell>
          <cell r="F50">
            <v>31894.23</v>
          </cell>
          <cell r="G50">
            <v>26914</v>
          </cell>
          <cell r="H50">
            <v>4979</v>
          </cell>
          <cell r="I50">
            <v>461</v>
          </cell>
          <cell r="J50">
            <v>1.45</v>
          </cell>
          <cell r="K50">
            <v>10.8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84.4</v>
          </cell>
          <cell r="P50">
            <v>27.4</v>
          </cell>
          <cell r="Q50">
            <v>21097</v>
          </cell>
          <cell r="R50">
            <v>1017</v>
          </cell>
          <cell r="S50">
            <v>3.19</v>
          </cell>
        </row>
        <row r="51">
          <cell r="A51" t="str">
            <v xml:space="preserve">375.00 00760000     </v>
          </cell>
          <cell r="B51">
            <v>40513</v>
          </cell>
          <cell r="C51">
            <v>55</v>
          </cell>
          <cell r="D51" t="str">
            <v xml:space="preserve">R1.5 </v>
          </cell>
          <cell r="E51">
            <v>0</v>
          </cell>
          <cell r="F51">
            <v>2372.27</v>
          </cell>
          <cell r="G51">
            <v>2786</v>
          </cell>
          <cell r="H51">
            <v>-414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117.4</v>
          </cell>
          <cell r="P51">
            <v>42.3</v>
          </cell>
          <cell r="Q51">
            <v>2184</v>
          </cell>
          <cell r="R51">
            <v>60</v>
          </cell>
          <cell r="S51">
            <v>2.5299999999999998</v>
          </cell>
        </row>
        <row r="52">
          <cell r="A52" t="str">
            <v xml:space="preserve">375.00 00810000     </v>
          </cell>
          <cell r="B52">
            <v>41244</v>
          </cell>
          <cell r="C52">
            <v>55</v>
          </cell>
          <cell r="D52" t="str">
            <v xml:space="preserve">R1.5 </v>
          </cell>
          <cell r="E52">
            <v>0</v>
          </cell>
          <cell r="F52">
            <v>12635.08</v>
          </cell>
          <cell r="G52">
            <v>10131</v>
          </cell>
          <cell r="H52">
            <v>2504</v>
          </cell>
          <cell r="I52">
            <v>482</v>
          </cell>
          <cell r="J52">
            <v>3.81</v>
          </cell>
          <cell r="K52">
            <v>5.2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80.2</v>
          </cell>
          <cell r="P52">
            <v>17.3</v>
          </cell>
          <cell r="Q52">
            <v>7941</v>
          </cell>
          <cell r="R52">
            <v>908</v>
          </cell>
          <cell r="S52">
            <v>7.19</v>
          </cell>
        </row>
        <row r="53">
          <cell r="A53" t="str">
            <v xml:space="preserve">375.00 00830000     </v>
          </cell>
          <cell r="B53">
            <v>41244</v>
          </cell>
          <cell r="C53">
            <v>55</v>
          </cell>
          <cell r="D53" t="str">
            <v xml:space="preserve">R1.5 </v>
          </cell>
          <cell r="E53">
            <v>0</v>
          </cell>
          <cell r="F53">
            <v>10750.08</v>
          </cell>
          <cell r="G53">
            <v>8891</v>
          </cell>
          <cell r="H53">
            <v>1859</v>
          </cell>
          <cell r="I53">
            <v>358</v>
          </cell>
          <cell r="J53">
            <v>3.33</v>
          </cell>
          <cell r="K53">
            <v>5.2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82.7</v>
          </cell>
          <cell r="P53">
            <v>19.2</v>
          </cell>
          <cell r="Q53">
            <v>6969</v>
          </cell>
          <cell r="R53">
            <v>732</v>
          </cell>
          <cell r="S53">
            <v>6.81</v>
          </cell>
        </row>
        <row r="54">
          <cell r="A54" t="str">
            <v xml:space="preserve">375.00 00840000     </v>
          </cell>
          <cell r="B54">
            <v>43435</v>
          </cell>
          <cell r="C54">
            <v>55</v>
          </cell>
          <cell r="D54" t="str">
            <v xml:space="preserve">R1.5 </v>
          </cell>
          <cell r="E54">
            <v>0</v>
          </cell>
          <cell r="F54">
            <v>11282.14</v>
          </cell>
          <cell r="G54">
            <v>10064</v>
          </cell>
          <cell r="H54">
            <v>1218</v>
          </cell>
          <cell r="I54">
            <v>114</v>
          </cell>
          <cell r="J54">
            <v>1.01</v>
          </cell>
          <cell r="K54">
            <v>10.7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89.2</v>
          </cell>
          <cell r="P54">
            <v>30.5</v>
          </cell>
          <cell r="Q54">
            <v>7889</v>
          </cell>
          <cell r="R54">
            <v>322</v>
          </cell>
          <cell r="S54">
            <v>2.85</v>
          </cell>
        </row>
        <row r="55">
          <cell r="A55" t="str">
            <v xml:space="preserve">375.00 00850000     </v>
          </cell>
          <cell r="B55">
            <v>46722</v>
          </cell>
          <cell r="C55">
            <v>55</v>
          </cell>
          <cell r="D55" t="str">
            <v xml:space="preserve">R1.5 </v>
          </cell>
          <cell r="E55">
            <v>0</v>
          </cell>
          <cell r="F55">
            <v>28199.75</v>
          </cell>
          <cell r="G55">
            <v>18194</v>
          </cell>
          <cell r="H55">
            <v>10005</v>
          </cell>
          <cell r="I55">
            <v>545</v>
          </cell>
          <cell r="J55">
            <v>1.93</v>
          </cell>
          <cell r="K55">
            <v>18.399999999999999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64.5</v>
          </cell>
          <cell r="P55">
            <v>24.9</v>
          </cell>
          <cell r="Q55">
            <v>14262</v>
          </cell>
          <cell r="R55">
            <v>766</v>
          </cell>
          <cell r="S55">
            <v>2.72</v>
          </cell>
        </row>
        <row r="56">
          <cell r="A56" t="str">
            <v xml:space="preserve">375.00 00860000     </v>
          </cell>
          <cell r="B56">
            <v>41974</v>
          </cell>
          <cell r="C56">
            <v>55</v>
          </cell>
          <cell r="D56" t="str">
            <v xml:space="preserve">R1.5 </v>
          </cell>
          <cell r="E56">
            <v>0</v>
          </cell>
          <cell r="F56">
            <v>6344.66</v>
          </cell>
          <cell r="G56">
            <v>6700</v>
          </cell>
          <cell r="H56">
            <v>-355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105.6</v>
          </cell>
          <cell r="P56">
            <v>38.299999999999997</v>
          </cell>
          <cell r="Q56">
            <v>5252</v>
          </cell>
          <cell r="R56">
            <v>159</v>
          </cell>
          <cell r="S56">
            <v>2.5099999999999998</v>
          </cell>
        </row>
        <row r="57">
          <cell r="A57" t="str">
            <v xml:space="preserve">375.00 00870000     </v>
          </cell>
          <cell r="B57">
            <v>40513</v>
          </cell>
          <cell r="C57">
            <v>55</v>
          </cell>
          <cell r="D57" t="str">
            <v xml:space="preserve">R1.5 </v>
          </cell>
          <cell r="E57">
            <v>0</v>
          </cell>
          <cell r="F57">
            <v>7265.99</v>
          </cell>
          <cell r="G57">
            <v>7241</v>
          </cell>
          <cell r="H57">
            <v>25</v>
          </cell>
          <cell r="I57">
            <v>8</v>
          </cell>
          <cell r="J57">
            <v>0.11</v>
          </cell>
          <cell r="K57">
            <v>3.1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99.7</v>
          </cell>
          <cell r="P57">
            <v>22.7</v>
          </cell>
          <cell r="Q57">
            <v>5676</v>
          </cell>
          <cell r="R57">
            <v>494</v>
          </cell>
          <cell r="S57">
            <v>6.8</v>
          </cell>
        </row>
        <row r="58">
          <cell r="A58" t="str">
            <v xml:space="preserve">375.00 00880000     </v>
          </cell>
          <cell r="B58">
            <v>54027</v>
          </cell>
          <cell r="C58">
            <v>55</v>
          </cell>
          <cell r="D58" t="str">
            <v xml:space="preserve">R1.5 </v>
          </cell>
          <cell r="E58">
            <v>0</v>
          </cell>
          <cell r="F58">
            <v>8739.5</v>
          </cell>
          <cell r="G58">
            <v>1708</v>
          </cell>
          <cell r="H58">
            <v>7032</v>
          </cell>
          <cell r="I58">
            <v>203</v>
          </cell>
          <cell r="J58">
            <v>2.3199999999999998</v>
          </cell>
          <cell r="K58">
            <v>34.6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19.5</v>
          </cell>
          <cell r="P58">
            <v>8.5</v>
          </cell>
          <cell r="Q58">
            <v>1339</v>
          </cell>
          <cell r="R58">
            <v>215</v>
          </cell>
          <cell r="S58">
            <v>2.46</v>
          </cell>
        </row>
        <row r="59">
          <cell r="A59" t="str">
            <v xml:space="preserve">375.00 00890000     </v>
          </cell>
          <cell r="B59">
            <v>42339</v>
          </cell>
          <cell r="C59">
            <v>55</v>
          </cell>
          <cell r="D59" t="str">
            <v xml:space="preserve">R1.5 </v>
          </cell>
          <cell r="E59">
            <v>0</v>
          </cell>
          <cell r="F59">
            <v>1580.5</v>
          </cell>
          <cell r="G59">
            <v>1692</v>
          </cell>
          <cell r="H59">
            <v>-112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107.1</v>
          </cell>
          <cell r="P59">
            <v>48.3</v>
          </cell>
          <cell r="Q59">
            <v>1326</v>
          </cell>
          <cell r="R59">
            <v>34</v>
          </cell>
          <cell r="S59">
            <v>2.15</v>
          </cell>
        </row>
        <row r="60">
          <cell r="A60" t="str">
            <v xml:space="preserve">375.00 00900000     </v>
          </cell>
          <cell r="B60">
            <v>46357</v>
          </cell>
          <cell r="C60">
            <v>55</v>
          </cell>
          <cell r="D60" t="str">
            <v xml:space="preserve">R1.5 </v>
          </cell>
          <cell r="E60">
            <v>0</v>
          </cell>
          <cell r="F60">
            <v>46634.21</v>
          </cell>
          <cell r="G60">
            <v>31749</v>
          </cell>
          <cell r="H60">
            <v>14885</v>
          </cell>
          <cell r="I60">
            <v>849</v>
          </cell>
          <cell r="J60">
            <v>1.82</v>
          </cell>
          <cell r="K60">
            <v>17.5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68.099999999999994</v>
          </cell>
          <cell r="P60">
            <v>24.2</v>
          </cell>
          <cell r="Q60">
            <v>24887</v>
          </cell>
          <cell r="R60">
            <v>1244</v>
          </cell>
          <cell r="S60">
            <v>2.67</v>
          </cell>
        </row>
        <row r="61">
          <cell r="A61" t="str">
            <v xml:space="preserve">375.00 00910000     </v>
          </cell>
          <cell r="B61">
            <v>46357</v>
          </cell>
          <cell r="C61">
            <v>55</v>
          </cell>
          <cell r="D61" t="str">
            <v xml:space="preserve">R1.5 </v>
          </cell>
          <cell r="E61">
            <v>0</v>
          </cell>
          <cell r="F61">
            <v>10579.89</v>
          </cell>
          <cell r="G61">
            <v>7625</v>
          </cell>
          <cell r="H61">
            <v>2955</v>
          </cell>
          <cell r="I61">
            <v>171</v>
          </cell>
          <cell r="J61">
            <v>1.62</v>
          </cell>
          <cell r="K61">
            <v>17.3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72.099999999999994</v>
          </cell>
          <cell r="P61">
            <v>26.3</v>
          </cell>
          <cell r="Q61">
            <v>5977</v>
          </cell>
          <cell r="R61">
            <v>266</v>
          </cell>
          <cell r="S61">
            <v>2.5099999999999998</v>
          </cell>
        </row>
        <row r="62">
          <cell r="A62" t="str">
            <v xml:space="preserve">375.00 00950000     </v>
          </cell>
          <cell r="B62">
            <v>48914</v>
          </cell>
          <cell r="C62">
            <v>55</v>
          </cell>
          <cell r="D62" t="str">
            <v xml:space="preserve">R1.5 </v>
          </cell>
          <cell r="E62">
            <v>0</v>
          </cell>
          <cell r="F62">
            <v>38095.57</v>
          </cell>
          <cell r="G62">
            <v>17636</v>
          </cell>
          <cell r="H62">
            <v>20460</v>
          </cell>
          <cell r="I62">
            <v>866</v>
          </cell>
          <cell r="J62">
            <v>2.27</v>
          </cell>
          <cell r="K62">
            <v>23.6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46.3</v>
          </cell>
          <cell r="P62">
            <v>16.2</v>
          </cell>
          <cell r="Q62">
            <v>13824</v>
          </cell>
          <cell r="R62">
            <v>1029</v>
          </cell>
          <cell r="S62">
            <v>2.7</v>
          </cell>
        </row>
        <row r="63">
          <cell r="A63" t="str">
            <v xml:space="preserve">375.00 00960000     </v>
          </cell>
          <cell r="B63">
            <v>40513</v>
          </cell>
          <cell r="C63">
            <v>55</v>
          </cell>
          <cell r="D63" t="str">
            <v xml:space="preserve">R1.5 </v>
          </cell>
          <cell r="E63">
            <v>0</v>
          </cell>
          <cell r="F63">
            <v>2962.47</v>
          </cell>
          <cell r="G63">
            <v>3479</v>
          </cell>
          <cell r="H63">
            <v>-517</v>
          </cell>
          <cell r="I63">
            <v>0</v>
          </cell>
          <cell r="J63">
            <v>0</v>
          </cell>
          <cell r="K63">
            <v>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117.4</v>
          </cell>
          <cell r="P63">
            <v>42.2</v>
          </cell>
          <cell r="Q63">
            <v>2727</v>
          </cell>
          <cell r="R63">
            <v>74</v>
          </cell>
          <cell r="S63">
            <v>2.5</v>
          </cell>
        </row>
        <row r="64">
          <cell r="A64" t="str">
            <v xml:space="preserve">375.00 01000000     </v>
          </cell>
          <cell r="B64">
            <v>52201</v>
          </cell>
          <cell r="C64">
            <v>55</v>
          </cell>
          <cell r="D64" t="str">
            <v xml:space="preserve">R1.5 </v>
          </cell>
          <cell r="E64">
            <v>0</v>
          </cell>
          <cell r="F64">
            <v>38375.660000000003</v>
          </cell>
          <cell r="G64">
            <v>10888</v>
          </cell>
          <cell r="H64">
            <v>27488</v>
          </cell>
          <cell r="I64">
            <v>889</v>
          </cell>
          <cell r="J64">
            <v>2.3199999999999998</v>
          </cell>
          <cell r="K64">
            <v>30.9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28.4</v>
          </cell>
          <cell r="P64">
            <v>10.199999999999999</v>
          </cell>
          <cell r="Q64">
            <v>8535</v>
          </cell>
          <cell r="R64">
            <v>963</v>
          </cell>
          <cell r="S64">
            <v>2.5099999999999998</v>
          </cell>
        </row>
        <row r="65">
          <cell r="A65" t="str">
            <v xml:space="preserve">375.00 02260000     </v>
          </cell>
          <cell r="B65">
            <v>40148</v>
          </cell>
          <cell r="C65">
            <v>55</v>
          </cell>
          <cell r="D65" t="str">
            <v xml:space="preserve">R1.5 </v>
          </cell>
          <cell r="E65">
            <v>0</v>
          </cell>
          <cell r="F65">
            <v>2575.75</v>
          </cell>
          <cell r="G65">
            <v>3103</v>
          </cell>
          <cell r="H65">
            <v>-527</v>
          </cell>
          <cell r="I65">
            <v>0</v>
          </cell>
          <cell r="J65">
            <v>0</v>
          </cell>
          <cell r="K65">
            <v>0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120.5</v>
          </cell>
          <cell r="P65">
            <v>42.8</v>
          </cell>
          <cell r="Q65">
            <v>2432</v>
          </cell>
          <cell r="R65">
            <v>65</v>
          </cell>
          <cell r="S65">
            <v>2.52</v>
          </cell>
        </row>
        <row r="66">
          <cell r="A66" t="str">
            <v xml:space="preserve">375.00 02270000     </v>
          </cell>
          <cell r="B66">
            <v>41974</v>
          </cell>
          <cell r="C66">
            <v>55</v>
          </cell>
          <cell r="D66" t="str">
            <v xml:space="preserve">R1.5 </v>
          </cell>
          <cell r="E66">
            <v>0</v>
          </cell>
          <cell r="F66">
            <v>8248.5</v>
          </cell>
          <cell r="G66">
            <v>7020</v>
          </cell>
          <cell r="H66">
            <v>1229</v>
          </cell>
          <cell r="I66">
            <v>172</v>
          </cell>
          <cell r="J66">
            <v>2.09</v>
          </cell>
          <cell r="K66">
            <v>7.1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85.1</v>
          </cell>
          <cell r="P66">
            <v>24.9</v>
          </cell>
          <cell r="Q66">
            <v>5503</v>
          </cell>
          <cell r="R66">
            <v>389</v>
          </cell>
          <cell r="S66">
            <v>4.72</v>
          </cell>
        </row>
        <row r="67">
          <cell r="A67" t="str">
            <v xml:space="preserve">375.00 02280000     </v>
          </cell>
          <cell r="B67">
            <v>53662</v>
          </cell>
          <cell r="C67">
            <v>55</v>
          </cell>
          <cell r="D67" t="str">
            <v xml:space="preserve">R1.5 </v>
          </cell>
          <cell r="E67">
            <v>0</v>
          </cell>
          <cell r="F67">
            <v>15107.04</v>
          </cell>
          <cell r="G67">
            <v>8727</v>
          </cell>
          <cell r="H67">
            <v>6381</v>
          </cell>
          <cell r="I67">
            <v>224</v>
          </cell>
          <cell r="J67">
            <v>1.48</v>
          </cell>
          <cell r="K67">
            <v>28.5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57.8</v>
          </cell>
          <cell r="P67">
            <v>33.200000000000003</v>
          </cell>
          <cell r="Q67">
            <v>6841</v>
          </cell>
          <cell r="R67">
            <v>312</v>
          </cell>
          <cell r="S67">
            <v>2.0699999999999998</v>
          </cell>
        </row>
        <row r="68">
          <cell r="A68" t="str">
            <v xml:space="preserve">375.00 02300000     </v>
          </cell>
          <cell r="B68">
            <v>41244</v>
          </cell>
          <cell r="C68">
            <v>55</v>
          </cell>
          <cell r="D68" t="str">
            <v xml:space="preserve">R1.5 </v>
          </cell>
          <cell r="E68">
            <v>0</v>
          </cell>
          <cell r="F68">
            <v>6535.36</v>
          </cell>
          <cell r="G68">
            <v>6454</v>
          </cell>
          <cell r="H68">
            <v>82</v>
          </cell>
          <cell r="I68">
            <v>16</v>
          </cell>
          <cell r="J68">
            <v>0.24</v>
          </cell>
          <cell r="K68">
            <v>5.0999999999999996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98.8</v>
          </cell>
          <cell r="P68">
            <v>27.4</v>
          </cell>
          <cell r="Q68">
            <v>5059</v>
          </cell>
          <cell r="R68">
            <v>288</v>
          </cell>
          <cell r="S68">
            <v>4.41</v>
          </cell>
        </row>
        <row r="69">
          <cell r="A69" t="str">
            <v xml:space="preserve">375.00 02310000     </v>
          </cell>
          <cell r="B69">
            <v>47453</v>
          </cell>
          <cell r="C69">
            <v>55</v>
          </cell>
          <cell r="D69" t="str">
            <v xml:space="preserve">R1.5 </v>
          </cell>
          <cell r="E69">
            <v>0</v>
          </cell>
          <cell r="F69">
            <v>4634.17</v>
          </cell>
          <cell r="G69">
            <v>2961</v>
          </cell>
          <cell r="H69">
            <v>1673</v>
          </cell>
          <cell r="I69">
            <v>84</v>
          </cell>
          <cell r="J69">
            <v>1.81</v>
          </cell>
          <cell r="K69">
            <v>19.899999999999999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63.9</v>
          </cell>
          <cell r="P69">
            <v>23.3</v>
          </cell>
          <cell r="Q69">
            <v>2321</v>
          </cell>
          <cell r="R69">
            <v>116</v>
          </cell>
          <cell r="S69">
            <v>2.5</v>
          </cell>
        </row>
        <row r="70">
          <cell r="A70" t="str">
            <v xml:space="preserve">375.00 02320000     </v>
          </cell>
          <cell r="B70">
            <v>40148</v>
          </cell>
          <cell r="C70">
            <v>55</v>
          </cell>
          <cell r="D70" t="str">
            <v xml:space="preserve">R1.5 </v>
          </cell>
          <cell r="E70">
            <v>0</v>
          </cell>
          <cell r="F70">
            <v>10206.200000000001</v>
          </cell>
          <cell r="G70">
            <v>10682</v>
          </cell>
          <cell r="H70">
            <v>-477</v>
          </cell>
          <cell r="I70">
            <v>0</v>
          </cell>
          <cell r="J70">
            <v>0</v>
          </cell>
          <cell r="K70">
            <v>0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104.7</v>
          </cell>
          <cell r="P70">
            <v>20.9</v>
          </cell>
          <cell r="Q70">
            <v>8373</v>
          </cell>
          <cell r="R70">
            <v>820</v>
          </cell>
          <cell r="S70">
            <v>8.0299999999999994</v>
          </cell>
        </row>
        <row r="71">
          <cell r="A71" t="str">
            <v xml:space="preserve">375.00 02380000     </v>
          </cell>
          <cell r="B71">
            <v>42339</v>
          </cell>
          <cell r="C71">
            <v>55</v>
          </cell>
          <cell r="D71" t="str">
            <v xml:space="preserve">R1.5 </v>
          </cell>
          <cell r="E71">
            <v>0</v>
          </cell>
          <cell r="F71">
            <v>888.58</v>
          </cell>
          <cell r="G71">
            <v>1017</v>
          </cell>
          <cell r="H71">
            <v>-128</v>
          </cell>
          <cell r="I71">
            <v>0</v>
          </cell>
          <cell r="J71">
            <v>0</v>
          </cell>
          <cell r="K71">
            <v>0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114.5</v>
          </cell>
          <cell r="P71">
            <v>81.3</v>
          </cell>
          <cell r="Q71">
            <v>797</v>
          </cell>
          <cell r="R71">
            <v>16</v>
          </cell>
          <cell r="S71">
            <v>1.8</v>
          </cell>
        </row>
        <row r="72">
          <cell r="A72" t="str">
            <v xml:space="preserve">375.00 02390000     </v>
          </cell>
          <cell r="B72">
            <v>43435</v>
          </cell>
          <cell r="C72">
            <v>55</v>
          </cell>
          <cell r="D72" t="str">
            <v xml:space="preserve">R1.5 </v>
          </cell>
          <cell r="E72">
            <v>0</v>
          </cell>
          <cell r="F72">
            <v>10407.66</v>
          </cell>
          <cell r="G72">
            <v>9379</v>
          </cell>
          <cell r="H72">
            <v>1029</v>
          </cell>
          <cell r="I72">
            <v>96</v>
          </cell>
          <cell r="J72">
            <v>0.92</v>
          </cell>
          <cell r="K72">
            <v>10.7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90.1</v>
          </cell>
          <cell r="P72">
            <v>31.2</v>
          </cell>
          <cell r="Q72">
            <v>7352</v>
          </cell>
          <cell r="R72">
            <v>290</v>
          </cell>
          <cell r="S72">
            <v>2.79</v>
          </cell>
        </row>
        <row r="73">
          <cell r="A73" t="str">
            <v xml:space="preserve">375.00 02400000     </v>
          </cell>
          <cell r="B73">
            <v>42339</v>
          </cell>
          <cell r="C73">
            <v>55</v>
          </cell>
          <cell r="D73" t="str">
            <v xml:space="preserve">R1.5 </v>
          </cell>
          <cell r="E73">
            <v>0</v>
          </cell>
          <cell r="F73">
            <v>20124.830000000002</v>
          </cell>
          <cell r="G73">
            <v>21016</v>
          </cell>
          <cell r="H73">
            <v>-891</v>
          </cell>
          <cell r="I73">
            <v>0</v>
          </cell>
          <cell r="J73">
            <v>0</v>
          </cell>
          <cell r="K73">
            <v>0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104.4</v>
          </cell>
          <cell r="P73">
            <v>42.6</v>
          </cell>
          <cell r="Q73">
            <v>16474</v>
          </cell>
          <cell r="R73">
            <v>479</v>
          </cell>
          <cell r="S73">
            <v>2.38</v>
          </cell>
        </row>
        <row r="74">
          <cell r="A74" t="str">
            <v xml:space="preserve">375.00 02420000     </v>
          </cell>
          <cell r="B74">
            <v>52201</v>
          </cell>
          <cell r="C74">
            <v>55</v>
          </cell>
          <cell r="D74" t="str">
            <v xml:space="preserve">R1.5 </v>
          </cell>
          <cell r="E74">
            <v>0</v>
          </cell>
          <cell r="F74">
            <v>27347.27</v>
          </cell>
          <cell r="G74">
            <v>14941</v>
          </cell>
          <cell r="H74">
            <v>12407</v>
          </cell>
          <cell r="I74">
            <v>449</v>
          </cell>
          <cell r="J74">
            <v>1.64</v>
          </cell>
          <cell r="K74">
            <v>27.6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54.6</v>
          </cell>
          <cell r="P74">
            <v>28.8</v>
          </cell>
          <cell r="Q74">
            <v>11712</v>
          </cell>
          <cell r="R74">
            <v>591</v>
          </cell>
          <cell r="S74">
            <v>2.16</v>
          </cell>
        </row>
        <row r="75">
          <cell r="A75" t="str">
            <v xml:space="preserve">375.00 02430000     </v>
          </cell>
          <cell r="B75">
            <v>42339</v>
          </cell>
          <cell r="C75">
            <v>55</v>
          </cell>
          <cell r="D75" t="str">
            <v xml:space="preserve">R1.5 </v>
          </cell>
          <cell r="E75">
            <v>0</v>
          </cell>
          <cell r="F75">
            <v>5515.47</v>
          </cell>
          <cell r="G75">
            <v>5824</v>
          </cell>
          <cell r="H75">
            <v>-308</v>
          </cell>
          <cell r="I75">
            <v>0</v>
          </cell>
          <cell r="J75">
            <v>0</v>
          </cell>
          <cell r="K75">
            <v>0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105.6</v>
          </cell>
          <cell r="P75">
            <v>44</v>
          </cell>
          <cell r="Q75">
            <v>4565</v>
          </cell>
          <cell r="R75">
            <v>125</v>
          </cell>
          <cell r="S75">
            <v>2.27</v>
          </cell>
        </row>
        <row r="76">
          <cell r="A76" t="str">
            <v xml:space="preserve">375.00 02440000     </v>
          </cell>
          <cell r="B76">
            <v>41244</v>
          </cell>
          <cell r="C76">
            <v>55</v>
          </cell>
          <cell r="D76" t="str">
            <v xml:space="preserve">R1.5 </v>
          </cell>
          <cell r="E76">
            <v>0</v>
          </cell>
          <cell r="F76">
            <v>10015.32</v>
          </cell>
          <cell r="G76">
            <v>9093</v>
          </cell>
          <cell r="H76">
            <v>923</v>
          </cell>
          <cell r="I76">
            <v>178</v>
          </cell>
          <cell r="J76">
            <v>1.78</v>
          </cell>
          <cell r="K76">
            <v>5.2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90.8</v>
          </cell>
          <cell r="P76">
            <v>26.3</v>
          </cell>
          <cell r="Q76">
            <v>7128</v>
          </cell>
          <cell r="R76">
            <v>560</v>
          </cell>
          <cell r="S76">
            <v>5.59</v>
          </cell>
        </row>
        <row r="77">
          <cell r="A77" t="str">
            <v xml:space="preserve">375.00 02470000     </v>
          </cell>
          <cell r="B77">
            <v>48183</v>
          </cell>
          <cell r="C77">
            <v>55</v>
          </cell>
          <cell r="D77" t="str">
            <v xml:space="preserve">R1.5 </v>
          </cell>
          <cell r="E77">
            <v>0</v>
          </cell>
          <cell r="F77">
            <v>12379.01</v>
          </cell>
          <cell r="G77">
            <v>7785</v>
          </cell>
          <cell r="H77">
            <v>4592</v>
          </cell>
          <cell r="I77">
            <v>217</v>
          </cell>
          <cell r="J77">
            <v>1.75</v>
          </cell>
          <cell r="K77">
            <v>21.2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62.9</v>
          </cell>
          <cell r="P77">
            <v>25.4</v>
          </cell>
          <cell r="Q77">
            <v>6102</v>
          </cell>
          <cell r="R77">
            <v>298</v>
          </cell>
          <cell r="S77">
            <v>2.41</v>
          </cell>
        </row>
        <row r="78">
          <cell r="A78" t="str">
            <v xml:space="preserve">375.00 02490000     </v>
          </cell>
          <cell r="B78">
            <v>40148</v>
          </cell>
          <cell r="C78">
            <v>55</v>
          </cell>
          <cell r="D78" t="str">
            <v xml:space="preserve">R1.5 </v>
          </cell>
          <cell r="E78">
            <v>0</v>
          </cell>
          <cell r="F78">
            <v>11399.21</v>
          </cell>
          <cell r="G78">
            <v>12544</v>
          </cell>
          <cell r="H78">
            <v>-1145</v>
          </cell>
          <cell r="I78">
            <v>0</v>
          </cell>
          <cell r="J78">
            <v>0</v>
          </cell>
          <cell r="K78">
            <v>0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110</v>
          </cell>
          <cell r="P78">
            <v>27.5</v>
          </cell>
          <cell r="Q78">
            <v>9833</v>
          </cell>
          <cell r="R78">
            <v>702</v>
          </cell>
          <cell r="S78">
            <v>6.16</v>
          </cell>
        </row>
        <row r="79">
          <cell r="A79" t="str">
            <v xml:space="preserve">375.00 02500000     </v>
          </cell>
          <cell r="B79">
            <v>44166</v>
          </cell>
          <cell r="C79">
            <v>55</v>
          </cell>
          <cell r="D79" t="str">
            <v xml:space="preserve">R1.5 </v>
          </cell>
          <cell r="E79">
            <v>0</v>
          </cell>
          <cell r="F79">
            <v>11554.64</v>
          </cell>
          <cell r="G79">
            <v>9026</v>
          </cell>
          <cell r="H79">
            <v>2529</v>
          </cell>
          <cell r="I79">
            <v>201</v>
          </cell>
          <cell r="J79">
            <v>1.74</v>
          </cell>
          <cell r="K79">
            <v>12.6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78.099999999999994</v>
          </cell>
          <cell r="P79">
            <v>27.3</v>
          </cell>
          <cell r="Q79">
            <v>7075</v>
          </cell>
          <cell r="R79">
            <v>361</v>
          </cell>
          <cell r="S79">
            <v>3.12</v>
          </cell>
        </row>
        <row r="80">
          <cell r="A80" t="str">
            <v xml:space="preserve">375.00 02510000     </v>
          </cell>
          <cell r="B80">
            <v>40148</v>
          </cell>
          <cell r="C80">
            <v>55</v>
          </cell>
          <cell r="D80" t="str">
            <v xml:space="preserve">R1.5 </v>
          </cell>
          <cell r="E80">
            <v>0</v>
          </cell>
          <cell r="F80">
            <v>17033.439999999999</v>
          </cell>
          <cell r="G80">
            <v>20528</v>
          </cell>
          <cell r="H80">
            <v>-3495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120.5</v>
          </cell>
          <cell r="P80">
            <v>43.3</v>
          </cell>
          <cell r="Q80">
            <v>16091</v>
          </cell>
          <cell r="R80">
            <v>428</v>
          </cell>
          <cell r="S80">
            <v>2.5099999999999998</v>
          </cell>
        </row>
        <row r="81">
          <cell r="A81" t="str">
            <v xml:space="preserve">375.00 02530000     </v>
          </cell>
          <cell r="B81">
            <v>51471</v>
          </cell>
          <cell r="C81">
            <v>55</v>
          </cell>
          <cell r="D81" t="str">
            <v xml:space="preserve">R1.5 </v>
          </cell>
          <cell r="E81">
            <v>0</v>
          </cell>
          <cell r="F81">
            <v>4491.24</v>
          </cell>
          <cell r="G81">
            <v>2298</v>
          </cell>
          <cell r="H81">
            <v>2193</v>
          </cell>
          <cell r="I81">
            <v>80</v>
          </cell>
          <cell r="J81">
            <v>1.78</v>
          </cell>
          <cell r="K81">
            <v>27.4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51.2</v>
          </cell>
          <cell r="P81">
            <v>25.4</v>
          </cell>
          <cell r="Q81">
            <v>1801</v>
          </cell>
          <cell r="R81">
            <v>102</v>
          </cell>
          <cell r="S81">
            <v>2.27</v>
          </cell>
        </row>
        <row r="82">
          <cell r="A82" t="str">
            <v xml:space="preserve">375.00 02570000     </v>
          </cell>
          <cell r="B82">
            <v>43070</v>
          </cell>
          <cell r="C82">
            <v>55</v>
          </cell>
          <cell r="D82" t="str">
            <v xml:space="preserve">R1.5 </v>
          </cell>
          <cell r="E82">
            <v>0</v>
          </cell>
          <cell r="F82">
            <v>11472.15</v>
          </cell>
          <cell r="G82">
            <v>11128</v>
          </cell>
          <cell r="H82">
            <v>344</v>
          </cell>
          <cell r="I82">
            <v>36</v>
          </cell>
          <cell r="J82">
            <v>0.31</v>
          </cell>
          <cell r="K82">
            <v>9.6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97</v>
          </cell>
          <cell r="P82">
            <v>35.299999999999997</v>
          </cell>
          <cell r="Q82">
            <v>8723</v>
          </cell>
          <cell r="R82">
            <v>288</v>
          </cell>
          <cell r="S82">
            <v>2.5099999999999998</v>
          </cell>
        </row>
        <row r="83">
          <cell r="A83" t="str">
            <v xml:space="preserve">375.00 02600000     </v>
          </cell>
          <cell r="B83">
            <v>42339</v>
          </cell>
          <cell r="C83">
            <v>55</v>
          </cell>
          <cell r="D83" t="str">
            <v xml:space="preserve">R1.5 </v>
          </cell>
          <cell r="E83">
            <v>0</v>
          </cell>
          <cell r="F83">
            <v>6369.87</v>
          </cell>
          <cell r="G83">
            <v>5939</v>
          </cell>
          <cell r="H83">
            <v>431</v>
          </cell>
          <cell r="I83">
            <v>53</v>
          </cell>
          <cell r="J83">
            <v>0.83</v>
          </cell>
          <cell r="K83">
            <v>8.1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93.2</v>
          </cell>
          <cell r="P83">
            <v>33.9</v>
          </cell>
          <cell r="Q83">
            <v>4655</v>
          </cell>
          <cell r="R83">
            <v>218</v>
          </cell>
          <cell r="S83">
            <v>3.42</v>
          </cell>
        </row>
        <row r="84">
          <cell r="A84" t="str">
            <v xml:space="preserve">375.00 02610000     </v>
          </cell>
          <cell r="B84">
            <v>52932</v>
          </cell>
          <cell r="C84">
            <v>55</v>
          </cell>
          <cell r="D84" t="str">
            <v xml:space="preserve">R1.5 </v>
          </cell>
          <cell r="E84">
            <v>0</v>
          </cell>
          <cell r="F84">
            <v>7662.63</v>
          </cell>
          <cell r="G84">
            <v>3358</v>
          </cell>
          <cell r="H84">
            <v>4305</v>
          </cell>
          <cell r="I84">
            <v>143</v>
          </cell>
          <cell r="J84">
            <v>1.87</v>
          </cell>
          <cell r="K84">
            <v>30.1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43.8</v>
          </cell>
          <cell r="P84">
            <v>22</v>
          </cell>
          <cell r="Q84">
            <v>2632</v>
          </cell>
          <cell r="R84">
            <v>172</v>
          </cell>
          <cell r="S84">
            <v>2.2400000000000002</v>
          </cell>
        </row>
        <row r="85">
          <cell r="A85" t="str">
            <v xml:space="preserve">375.00 02620000     </v>
          </cell>
          <cell r="B85">
            <v>41609</v>
          </cell>
          <cell r="C85">
            <v>55</v>
          </cell>
          <cell r="D85" t="str">
            <v xml:space="preserve">R1.5 </v>
          </cell>
          <cell r="E85">
            <v>0</v>
          </cell>
          <cell r="F85">
            <v>14226.8</v>
          </cell>
          <cell r="G85">
            <v>13587</v>
          </cell>
          <cell r="H85">
            <v>640</v>
          </cell>
          <cell r="I85">
            <v>104</v>
          </cell>
          <cell r="J85">
            <v>0.73</v>
          </cell>
          <cell r="K85">
            <v>6.2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95.5</v>
          </cell>
          <cell r="P85">
            <v>30.2</v>
          </cell>
          <cell r="Q85">
            <v>10650</v>
          </cell>
          <cell r="R85">
            <v>589</v>
          </cell>
          <cell r="S85">
            <v>4.1399999999999997</v>
          </cell>
        </row>
        <row r="86">
          <cell r="A86" t="str">
            <v xml:space="preserve">375.00 02630000     </v>
          </cell>
          <cell r="B86">
            <v>47818</v>
          </cell>
          <cell r="C86">
            <v>55</v>
          </cell>
          <cell r="D86" t="str">
            <v xml:space="preserve">R1.5 </v>
          </cell>
          <cell r="E86">
            <v>0</v>
          </cell>
          <cell r="F86">
            <v>16484.310000000001</v>
          </cell>
          <cell r="G86">
            <v>8461</v>
          </cell>
          <cell r="H86">
            <v>8023</v>
          </cell>
          <cell r="I86">
            <v>379</v>
          </cell>
          <cell r="J86">
            <v>2.2999999999999998</v>
          </cell>
          <cell r="K86">
            <v>21.2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51.3</v>
          </cell>
          <cell r="P86">
            <v>17.3</v>
          </cell>
          <cell r="Q86">
            <v>6632</v>
          </cell>
          <cell r="R86">
            <v>466</v>
          </cell>
          <cell r="S86">
            <v>2.83</v>
          </cell>
        </row>
        <row r="87">
          <cell r="A87" t="str">
            <v xml:space="preserve">375.00 02640000     </v>
          </cell>
          <cell r="B87">
            <v>51836</v>
          </cell>
          <cell r="C87">
            <v>55</v>
          </cell>
          <cell r="D87" t="str">
            <v xml:space="preserve">R1.5 </v>
          </cell>
          <cell r="E87">
            <v>0</v>
          </cell>
          <cell r="F87">
            <v>52961.88</v>
          </cell>
          <cell r="G87">
            <v>18535</v>
          </cell>
          <cell r="H87">
            <v>34426</v>
          </cell>
          <cell r="I87">
            <v>1160</v>
          </cell>
          <cell r="J87">
            <v>2.19</v>
          </cell>
          <cell r="K87">
            <v>29.7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35</v>
          </cell>
          <cell r="P87">
            <v>14.3</v>
          </cell>
          <cell r="Q87">
            <v>14529</v>
          </cell>
          <cell r="R87">
            <v>1304</v>
          </cell>
          <cell r="S87">
            <v>2.46</v>
          </cell>
        </row>
        <row r="88">
          <cell r="A88" t="str">
            <v xml:space="preserve">375.00 02650000     </v>
          </cell>
          <cell r="B88">
            <v>40878</v>
          </cell>
          <cell r="C88">
            <v>55</v>
          </cell>
          <cell r="D88" t="str">
            <v xml:space="preserve">R1.5 </v>
          </cell>
          <cell r="E88">
            <v>0</v>
          </cell>
          <cell r="F88">
            <v>1461.06</v>
          </cell>
          <cell r="G88">
            <v>1185</v>
          </cell>
          <cell r="H88">
            <v>276</v>
          </cell>
          <cell r="I88">
            <v>66</v>
          </cell>
          <cell r="J88">
            <v>4.5199999999999996</v>
          </cell>
          <cell r="K88">
            <v>4.2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81.099999999999994</v>
          </cell>
          <cell r="P88">
            <v>7.6</v>
          </cell>
          <cell r="Q88">
            <v>929</v>
          </cell>
          <cell r="R88">
            <v>126</v>
          </cell>
          <cell r="S88">
            <v>8.6199999999999992</v>
          </cell>
        </row>
        <row r="89">
          <cell r="A89" t="str">
            <v xml:space="preserve">375.00 02660000     </v>
          </cell>
          <cell r="B89">
            <v>40878</v>
          </cell>
          <cell r="C89">
            <v>55</v>
          </cell>
          <cell r="D89" t="str">
            <v xml:space="preserve">R1.5 </v>
          </cell>
          <cell r="E89">
            <v>0</v>
          </cell>
          <cell r="F89">
            <v>16088.3</v>
          </cell>
          <cell r="G89">
            <v>16073</v>
          </cell>
          <cell r="H89">
            <v>16</v>
          </cell>
          <cell r="I89">
            <v>4</v>
          </cell>
          <cell r="J89">
            <v>0.02</v>
          </cell>
          <cell r="K89">
            <v>4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99.9</v>
          </cell>
          <cell r="P89">
            <v>22.6</v>
          </cell>
          <cell r="Q89">
            <v>12599</v>
          </cell>
          <cell r="R89">
            <v>833</v>
          </cell>
          <cell r="S89">
            <v>5.18</v>
          </cell>
        </row>
        <row r="90">
          <cell r="A90" t="str">
            <v xml:space="preserve">375.00 02690000     </v>
          </cell>
          <cell r="B90">
            <v>52566</v>
          </cell>
          <cell r="C90">
            <v>55</v>
          </cell>
          <cell r="D90" t="str">
            <v xml:space="preserve">R1.5 </v>
          </cell>
          <cell r="E90">
            <v>0</v>
          </cell>
          <cell r="F90">
            <v>31419.4</v>
          </cell>
          <cell r="G90">
            <v>8052</v>
          </cell>
          <cell r="H90">
            <v>23367</v>
          </cell>
          <cell r="I90">
            <v>735</v>
          </cell>
          <cell r="J90">
            <v>2.34</v>
          </cell>
          <cell r="K90">
            <v>31.8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25.6</v>
          </cell>
          <cell r="P90">
            <v>9.3000000000000007</v>
          </cell>
          <cell r="Q90">
            <v>6312</v>
          </cell>
          <cell r="R90">
            <v>789</v>
          </cell>
          <cell r="S90">
            <v>2.5099999999999998</v>
          </cell>
        </row>
        <row r="91">
          <cell r="A91" t="str">
            <v xml:space="preserve">375.00 04020000     </v>
          </cell>
          <cell r="B91">
            <v>52566</v>
          </cell>
          <cell r="C91">
            <v>55</v>
          </cell>
          <cell r="D91" t="str">
            <v xml:space="preserve">R1.5 </v>
          </cell>
          <cell r="E91">
            <v>0</v>
          </cell>
          <cell r="F91">
            <v>63754.29</v>
          </cell>
          <cell r="G91">
            <v>41690</v>
          </cell>
          <cell r="H91">
            <v>22064</v>
          </cell>
          <cell r="I91">
            <v>854</v>
          </cell>
          <cell r="J91">
            <v>1.34</v>
          </cell>
          <cell r="K91">
            <v>25.8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65.400000000000006</v>
          </cell>
          <cell r="P91">
            <v>37.700000000000003</v>
          </cell>
          <cell r="Q91">
            <v>32679</v>
          </cell>
          <cell r="R91">
            <v>1300</v>
          </cell>
          <cell r="S91">
            <v>2.04</v>
          </cell>
        </row>
        <row r="92">
          <cell r="A92" t="str">
            <v xml:space="preserve">375.00 04030000     </v>
          </cell>
          <cell r="B92">
            <v>51471</v>
          </cell>
          <cell r="C92">
            <v>55</v>
          </cell>
          <cell r="D92" t="str">
            <v xml:space="preserve">R1.5 </v>
          </cell>
          <cell r="E92">
            <v>0</v>
          </cell>
          <cell r="F92">
            <v>26200.33</v>
          </cell>
          <cell r="G92">
            <v>15337</v>
          </cell>
          <cell r="H92">
            <v>10863</v>
          </cell>
          <cell r="I92">
            <v>413</v>
          </cell>
          <cell r="J92">
            <v>1.58</v>
          </cell>
          <cell r="K92">
            <v>26.3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58.5</v>
          </cell>
          <cell r="P92">
            <v>32</v>
          </cell>
          <cell r="Q92">
            <v>12022</v>
          </cell>
          <cell r="R92">
            <v>577</v>
          </cell>
          <cell r="S92">
            <v>2.2000000000000002</v>
          </cell>
        </row>
        <row r="93">
          <cell r="A93" t="str">
            <v xml:space="preserve">375.00 04050000     </v>
          </cell>
          <cell r="B93">
            <v>52566</v>
          </cell>
          <cell r="C93">
            <v>55</v>
          </cell>
          <cell r="D93" t="str">
            <v xml:space="preserve">R1.5 </v>
          </cell>
          <cell r="E93">
            <v>0</v>
          </cell>
          <cell r="F93">
            <v>18841.509999999998</v>
          </cell>
          <cell r="G93">
            <v>10922</v>
          </cell>
          <cell r="H93">
            <v>7920</v>
          </cell>
          <cell r="I93">
            <v>288</v>
          </cell>
          <cell r="J93">
            <v>1.53</v>
          </cell>
          <cell r="K93">
            <v>27.5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58</v>
          </cell>
          <cell r="P93">
            <v>32.700000000000003</v>
          </cell>
          <cell r="Q93">
            <v>8561</v>
          </cell>
          <cell r="R93">
            <v>403</v>
          </cell>
          <cell r="S93">
            <v>2.14</v>
          </cell>
        </row>
        <row r="94">
          <cell r="A94" t="str">
            <v xml:space="preserve">375.00 04060000     </v>
          </cell>
          <cell r="B94">
            <v>40148</v>
          </cell>
          <cell r="C94">
            <v>55</v>
          </cell>
          <cell r="D94" t="str">
            <v xml:space="preserve">R1.5 </v>
          </cell>
          <cell r="E94">
            <v>0</v>
          </cell>
          <cell r="F94">
            <v>5301.9</v>
          </cell>
          <cell r="G94">
            <v>5571</v>
          </cell>
          <cell r="H94">
            <v>-269</v>
          </cell>
          <cell r="I94">
            <v>0</v>
          </cell>
          <cell r="J94">
            <v>0</v>
          </cell>
          <cell r="K94">
            <v>0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105.1</v>
          </cell>
          <cell r="P94">
            <v>11.2</v>
          </cell>
          <cell r="Q94">
            <v>4367</v>
          </cell>
          <cell r="R94">
            <v>417</v>
          </cell>
          <cell r="S94">
            <v>7.87</v>
          </cell>
        </row>
        <row r="95">
          <cell r="A95" t="str">
            <v xml:space="preserve">375.00 04070000     </v>
          </cell>
          <cell r="B95">
            <v>49644</v>
          </cell>
          <cell r="C95">
            <v>55</v>
          </cell>
          <cell r="D95" t="str">
            <v xml:space="preserve">R1.5 </v>
          </cell>
          <cell r="E95">
            <v>0</v>
          </cell>
          <cell r="F95">
            <v>43848.73</v>
          </cell>
          <cell r="G95">
            <v>25746</v>
          </cell>
          <cell r="H95">
            <v>18103</v>
          </cell>
          <cell r="I95">
            <v>763</v>
          </cell>
          <cell r="J95">
            <v>1.74</v>
          </cell>
          <cell r="K95">
            <v>23.7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58.7</v>
          </cell>
          <cell r="P95">
            <v>28.1</v>
          </cell>
          <cell r="Q95">
            <v>20181</v>
          </cell>
          <cell r="R95">
            <v>1026</v>
          </cell>
          <cell r="S95">
            <v>2.34</v>
          </cell>
        </row>
        <row r="96">
          <cell r="A96" t="str">
            <v xml:space="preserve">375.00 04080000     </v>
          </cell>
          <cell r="B96">
            <v>42339</v>
          </cell>
          <cell r="C96">
            <v>55</v>
          </cell>
          <cell r="D96" t="str">
            <v xml:space="preserve">R1.5 </v>
          </cell>
          <cell r="E96">
            <v>0</v>
          </cell>
          <cell r="F96">
            <v>5175.21</v>
          </cell>
          <cell r="G96">
            <v>3877</v>
          </cell>
          <cell r="H96">
            <v>1298</v>
          </cell>
          <cell r="I96">
            <v>160</v>
          </cell>
          <cell r="J96">
            <v>3.09</v>
          </cell>
          <cell r="K96">
            <v>8.1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74.900000000000006</v>
          </cell>
          <cell r="P96">
            <v>28</v>
          </cell>
          <cell r="Q96">
            <v>3039</v>
          </cell>
          <cell r="R96">
            <v>269</v>
          </cell>
          <cell r="S96">
            <v>5.2</v>
          </cell>
        </row>
        <row r="97">
          <cell r="A97" t="str">
            <v xml:space="preserve">375.00 04090000     </v>
          </cell>
          <cell r="B97">
            <v>52566</v>
          </cell>
          <cell r="C97">
            <v>55</v>
          </cell>
          <cell r="D97" t="str">
            <v xml:space="preserve">R1.5 </v>
          </cell>
          <cell r="E97">
            <v>0</v>
          </cell>
          <cell r="F97">
            <v>26151</v>
          </cell>
          <cell r="G97">
            <v>6703</v>
          </cell>
          <cell r="H97">
            <v>19448</v>
          </cell>
          <cell r="I97">
            <v>612</v>
          </cell>
          <cell r="J97">
            <v>2.34</v>
          </cell>
          <cell r="K97">
            <v>31.8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25.6</v>
          </cell>
          <cell r="P97">
            <v>9.3000000000000007</v>
          </cell>
          <cell r="Q97">
            <v>5254</v>
          </cell>
          <cell r="R97">
            <v>656</v>
          </cell>
          <cell r="S97">
            <v>2.5099999999999998</v>
          </cell>
        </row>
        <row r="98">
          <cell r="A98" t="str">
            <v xml:space="preserve">375.00 04250000     </v>
          </cell>
          <cell r="B98">
            <v>47088</v>
          </cell>
          <cell r="C98">
            <v>55</v>
          </cell>
          <cell r="D98" t="str">
            <v xml:space="preserve">R1.5 </v>
          </cell>
          <cell r="E98">
            <v>0</v>
          </cell>
          <cell r="F98">
            <v>11954.32</v>
          </cell>
          <cell r="G98">
            <v>7962</v>
          </cell>
          <cell r="H98">
            <v>3992</v>
          </cell>
          <cell r="I98">
            <v>210</v>
          </cell>
          <cell r="J98">
            <v>1.76</v>
          </cell>
          <cell r="K98">
            <v>19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66.599999999999994</v>
          </cell>
          <cell r="P98">
            <v>24.3</v>
          </cell>
          <cell r="Q98">
            <v>6241</v>
          </cell>
          <cell r="R98">
            <v>300</v>
          </cell>
          <cell r="S98">
            <v>2.5099999999999998</v>
          </cell>
        </row>
        <row r="99">
          <cell r="A99" t="str">
            <v xml:space="preserve">375.00 04260000     </v>
          </cell>
          <cell r="B99">
            <v>47088</v>
          </cell>
          <cell r="C99">
            <v>55</v>
          </cell>
          <cell r="D99" t="str">
            <v xml:space="preserve">R1.5 </v>
          </cell>
          <cell r="E99">
            <v>0</v>
          </cell>
          <cell r="F99">
            <v>2965.46</v>
          </cell>
          <cell r="G99">
            <v>1975</v>
          </cell>
          <cell r="H99">
            <v>990</v>
          </cell>
          <cell r="I99">
            <v>52</v>
          </cell>
          <cell r="J99">
            <v>1.75</v>
          </cell>
          <cell r="K99">
            <v>19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66.599999999999994</v>
          </cell>
          <cell r="P99">
            <v>24.3</v>
          </cell>
          <cell r="Q99">
            <v>1548</v>
          </cell>
          <cell r="R99">
            <v>74</v>
          </cell>
          <cell r="S99">
            <v>2.5</v>
          </cell>
        </row>
        <row r="100">
          <cell r="A100" t="str">
            <v xml:space="preserve">375.00 04610000     </v>
          </cell>
          <cell r="B100">
            <v>53662</v>
          </cell>
          <cell r="C100">
            <v>55</v>
          </cell>
          <cell r="D100" t="str">
            <v xml:space="preserve">R1.5 </v>
          </cell>
          <cell r="E100">
            <v>0</v>
          </cell>
          <cell r="F100">
            <v>143957.97</v>
          </cell>
          <cell r="G100">
            <v>26739</v>
          </cell>
          <cell r="H100">
            <v>117219</v>
          </cell>
          <cell r="I100">
            <v>3419</v>
          </cell>
          <cell r="J100">
            <v>2.37</v>
          </cell>
          <cell r="K100">
            <v>34.299999999999997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18.600000000000001</v>
          </cell>
          <cell r="P100">
            <v>6.8</v>
          </cell>
          <cell r="Q100">
            <v>20960</v>
          </cell>
          <cell r="R100">
            <v>3585</v>
          </cell>
          <cell r="S100">
            <v>2.4900000000000002</v>
          </cell>
        </row>
        <row r="101">
          <cell r="A101" t="str">
            <v xml:space="preserve">375.00 05040000     </v>
          </cell>
          <cell r="B101">
            <v>52566</v>
          </cell>
          <cell r="C101">
            <v>55</v>
          </cell>
          <cell r="D101" t="str">
            <v xml:space="preserve">R1.5 </v>
          </cell>
          <cell r="E101">
            <v>0</v>
          </cell>
          <cell r="F101">
            <v>27154.74</v>
          </cell>
          <cell r="G101">
            <v>16699</v>
          </cell>
          <cell r="H101">
            <v>10456</v>
          </cell>
          <cell r="I101">
            <v>397</v>
          </cell>
          <cell r="J101">
            <v>1.46</v>
          </cell>
          <cell r="K101">
            <v>26.3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61.5</v>
          </cell>
          <cell r="P101">
            <v>34.200000000000003</v>
          </cell>
          <cell r="Q101">
            <v>13090</v>
          </cell>
          <cell r="R101">
            <v>558</v>
          </cell>
          <cell r="S101">
            <v>2.0499999999999998</v>
          </cell>
        </row>
        <row r="102">
          <cell r="A102" t="str">
            <v xml:space="preserve">375.00 05060000     </v>
          </cell>
          <cell r="B102">
            <v>48549</v>
          </cell>
          <cell r="C102">
            <v>55</v>
          </cell>
          <cell r="D102" t="str">
            <v xml:space="preserve">R1.5 </v>
          </cell>
          <cell r="E102">
            <v>0</v>
          </cell>
          <cell r="F102">
            <v>13171.33</v>
          </cell>
          <cell r="G102">
            <v>6893</v>
          </cell>
          <cell r="H102">
            <v>6279</v>
          </cell>
          <cell r="I102">
            <v>277</v>
          </cell>
          <cell r="J102">
            <v>2.1</v>
          </cell>
          <cell r="K102">
            <v>22.7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52.3</v>
          </cell>
          <cell r="P102">
            <v>18.899999999999999</v>
          </cell>
          <cell r="Q102">
            <v>5403</v>
          </cell>
          <cell r="R102">
            <v>345</v>
          </cell>
          <cell r="S102">
            <v>2.62</v>
          </cell>
        </row>
        <row r="103">
          <cell r="A103" t="str">
            <v xml:space="preserve">375.00 05070000     </v>
          </cell>
          <cell r="B103">
            <v>48549</v>
          </cell>
          <cell r="C103">
            <v>55</v>
          </cell>
          <cell r="D103" t="str">
            <v xml:space="preserve">R1.5 </v>
          </cell>
          <cell r="E103">
            <v>0</v>
          </cell>
          <cell r="F103">
            <v>8678.1200000000008</v>
          </cell>
          <cell r="G103">
            <v>5269</v>
          </cell>
          <cell r="H103">
            <v>3409</v>
          </cell>
          <cell r="I103">
            <v>155</v>
          </cell>
          <cell r="J103">
            <v>1.79</v>
          </cell>
          <cell r="K103">
            <v>22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60.7</v>
          </cell>
          <cell r="P103">
            <v>24.8</v>
          </cell>
          <cell r="Q103">
            <v>4130</v>
          </cell>
          <cell r="R103">
            <v>209</v>
          </cell>
          <cell r="S103">
            <v>2.41</v>
          </cell>
        </row>
        <row r="104">
          <cell r="A104" t="str">
            <v xml:space="preserve">375.00 05080000     </v>
          </cell>
          <cell r="B104">
            <v>42339</v>
          </cell>
          <cell r="C104">
            <v>55</v>
          </cell>
          <cell r="D104" t="str">
            <v xml:space="preserve">R1.5 </v>
          </cell>
          <cell r="E104">
            <v>0</v>
          </cell>
          <cell r="F104">
            <v>6049.71</v>
          </cell>
          <cell r="G104">
            <v>6377</v>
          </cell>
          <cell r="H104">
            <v>-328</v>
          </cell>
          <cell r="I104">
            <v>0</v>
          </cell>
          <cell r="J104">
            <v>0</v>
          </cell>
          <cell r="K104">
            <v>0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105.4</v>
          </cell>
          <cell r="P104">
            <v>43.6</v>
          </cell>
          <cell r="Q104">
            <v>4999</v>
          </cell>
          <cell r="R104">
            <v>138</v>
          </cell>
          <cell r="S104">
            <v>2.2799999999999998</v>
          </cell>
        </row>
        <row r="105">
          <cell r="A105" t="str">
            <v xml:space="preserve">375.00 05090000     </v>
          </cell>
          <cell r="B105">
            <v>42339</v>
          </cell>
          <cell r="C105">
            <v>55</v>
          </cell>
          <cell r="D105" t="str">
            <v xml:space="preserve">R1.5 </v>
          </cell>
          <cell r="E105">
            <v>0</v>
          </cell>
          <cell r="F105">
            <v>9494.01</v>
          </cell>
          <cell r="G105">
            <v>9749</v>
          </cell>
          <cell r="H105">
            <v>-255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102.7</v>
          </cell>
          <cell r="P105">
            <v>37.200000000000003</v>
          </cell>
          <cell r="Q105">
            <v>7642</v>
          </cell>
          <cell r="R105">
            <v>239</v>
          </cell>
          <cell r="S105">
            <v>2.52</v>
          </cell>
        </row>
        <row r="106">
          <cell r="A106" t="str">
            <v xml:space="preserve">375.00 05270000     </v>
          </cell>
          <cell r="B106">
            <v>42339</v>
          </cell>
          <cell r="C106">
            <v>55</v>
          </cell>
          <cell r="D106" t="str">
            <v xml:space="preserve">R1.5 </v>
          </cell>
          <cell r="E106">
            <v>0</v>
          </cell>
          <cell r="F106">
            <v>18007.52</v>
          </cell>
          <cell r="G106">
            <v>20395</v>
          </cell>
          <cell r="H106">
            <v>-2387</v>
          </cell>
          <cell r="I106">
            <v>0</v>
          </cell>
          <cell r="J106">
            <v>0</v>
          </cell>
          <cell r="K106">
            <v>0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113.3</v>
          </cell>
          <cell r="P106">
            <v>75.2</v>
          </cell>
          <cell r="Q106">
            <v>15987</v>
          </cell>
          <cell r="R106">
            <v>345</v>
          </cell>
          <cell r="S106">
            <v>1.92</v>
          </cell>
        </row>
        <row r="107">
          <cell r="A107" t="str">
            <v xml:space="preserve">375.00 05320000     </v>
          </cell>
          <cell r="B107">
            <v>42339</v>
          </cell>
          <cell r="C107">
            <v>55</v>
          </cell>
          <cell r="D107" t="str">
            <v xml:space="preserve">R1.5 </v>
          </cell>
          <cell r="E107">
            <v>0</v>
          </cell>
          <cell r="F107">
            <v>9963.36</v>
          </cell>
          <cell r="G107">
            <v>11512</v>
          </cell>
          <cell r="H107">
            <v>-1550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115.5</v>
          </cell>
          <cell r="P107">
            <v>83.3</v>
          </cell>
          <cell r="Q107">
            <v>9024</v>
          </cell>
          <cell r="R107">
            <v>170</v>
          </cell>
          <cell r="S107">
            <v>1.71</v>
          </cell>
        </row>
        <row r="108">
          <cell r="A108" t="str">
            <v xml:space="preserve">375.00 05330000     </v>
          </cell>
          <cell r="B108">
            <v>42339</v>
          </cell>
          <cell r="C108">
            <v>55</v>
          </cell>
          <cell r="D108" t="str">
            <v xml:space="preserve">R1.5 </v>
          </cell>
          <cell r="E108">
            <v>0</v>
          </cell>
          <cell r="F108">
            <v>3073.82</v>
          </cell>
          <cell r="G108">
            <v>3510</v>
          </cell>
          <cell r="H108">
            <v>-437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114.2</v>
          </cell>
          <cell r="P108">
            <v>76.3</v>
          </cell>
          <cell r="Q108">
            <v>2751</v>
          </cell>
          <cell r="R108">
            <v>41</v>
          </cell>
          <cell r="S108">
            <v>1.33</v>
          </cell>
        </row>
        <row r="109">
          <cell r="A109" t="str">
            <v xml:space="preserve">375.00 06510000     </v>
          </cell>
          <cell r="B109">
            <v>41974</v>
          </cell>
          <cell r="C109">
            <v>55</v>
          </cell>
          <cell r="D109" t="str">
            <v xml:space="preserve">R1.5 </v>
          </cell>
          <cell r="E109">
            <v>0</v>
          </cell>
          <cell r="F109">
            <v>7925.34</v>
          </cell>
          <cell r="G109">
            <v>8430</v>
          </cell>
          <cell r="H109">
            <v>-504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106.4</v>
          </cell>
          <cell r="P109">
            <v>40.200000000000003</v>
          </cell>
          <cell r="Q109">
            <v>6608</v>
          </cell>
          <cell r="R109">
            <v>193</v>
          </cell>
          <cell r="S109">
            <v>2.44</v>
          </cell>
        </row>
        <row r="110">
          <cell r="A110" t="str">
            <v xml:space="preserve">375.00 06520000     </v>
          </cell>
          <cell r="B110">
            <v>48549</v>
          </cell>
          <cell r="C110">
            <v>55</v>
          </cell>
          <cell r="D110" t="str">
            <v xml:space="preserve">R1.5 </v>
          </cell>
          <cell r="E110">
            <v>0</v>
          </cell>
          <cell r="F110">
            <v>8960.51</v>
          </cell>
          <cell r="G110">
            <v>5530</v>
          </cell>
          <cell r="H110">
            <v>3431</v>
          </cell>
          <cell r="I110">
            <v>157</v>
          </cell>
          <cell r="J110">
            <v>1.75</v>
          </cell>
          <cell r="K110">
            <v>21.9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61.7</v>
          </cell>
          <cell r="P110">
            <v>25.8</v>
          </cell>
          <cell r="Q110">
            <v>4335</v>
          </cell>
          <cell r="R110">
            <v>214</v>
          </cell>
          <cell r="S110">
            <v>2.39</v>
          </cell>
        </row>
        <row r="111">
          <cell r="A111" t="str">
            <v xml:space="preserve">375.00 06550000     </v>
          </cell>
          <cell r="B111">
            <v>42339</v>
          </cell>
          <cell r="C111">
            <v>55</v>
          </cell>
          <cell r="D111" t="str">
            <v xml:space="preserve">R1.5 </v>
          </cell>
          <cell r="E111">
            <v>0</v>
          </cell>
          <cell r="F111">
            <v>914.6</v>
          </cell>
          <cell r="G111">
            <v>970</v>
          </cell>
          <cell r="H111">
            <v>-55</v>
          </cell>
          <cell r="I111">
            <v>0</v>
          </cell>
          <cell r="J111">
            <v>0</v>
          </cell>
          <cell r="K111">
            <v>0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106.1</v>
          </cell>
          <cell r="P111">
            <v>45.3</v>
          </cell>
          <cell r="Q111">
            <v>760</v>
          </cell>
          <cell r="R111">
            <v>20</v>
          </cell>
          <cell r="S111">
            <v>2.19</v>
          </cell>
        </row>
        <row r="112">
          <cell r="A112" t="str">
            <v xml:space="preserve">375.00 06720000     </v>
          </cell>
          <cell r="B112">
            <v>49644</v>
          </cell>
          <cell r="C112">
            <v>55</v>
          </cell>
          <cell r="D112" t="str">
            <v xml:space="preserve">R1.5 </v>
          </cell>
          <cell r="E112">
            <v>0</v>
          </cell>
          <cell r="F112">
            <v>18198.95</v>
          </cell>
          <cell r="G112">
            <v>7392</v>
          </cell>
          <cell r="H112">
            <v>10807</v>
          </cell>
          <cell r="I112">
            <v>426</v>
          </cell>
          <cell r="J112">
            <v>2.34</v>
          </cell>
          <cell r="K112">
            <v>25.4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40.6</v>
          </cell>
          <cell r="P112">
            <v>14</v>
          </cell>
          <cell r="Q112">
            <v>5794</v>
          </cell>
          <cell r="R112">
            <v>489</v>
          </cell>
          <cell r="S112">
            <v>2.69</v>
          </cell>
        </row>
        <row r="113">
          <cell r="A113" t="str">
            <v xml:space="preserve">375.00 06730000     </v>
          </cell>
          <cell r="B113">
            <v>53297</v>
          </cell>
          <cell r="C113">
            <v>55</v>
          </cell>
          <cell r="D113" t="str">
            <v xml:space="preserve">R1.5 </v>
          </cell>
          <cell r="E113">
            <v>0</v>
          </cell>
          <cell r="F113">
            <v>3587.3</v>
          </cell>
          <cell r="G113">
            <v>723</v>
          </cell>
          <cell r="H113">
            <v>2864</v>
          </cell>
          <cell r="I113">
            <v>86</v>
          </cell>
          <cell r="J113">
            <v>2.4</v>
          </cell>
          <cell r="K113">
            <v>33.299999999999997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20.2</v>
          </cell>
          <cell r="P113">
            <v>7.3</v>
          </cell>
          <cell r="Q113">
            <v>567</v>
          </cell>
          <cell r="R113">
            <v>90</v>
          </cell>
          <cell r="S113">
            <v>2.5099999999999998</v>
          </cell>
        </row>
        <row r="114">
          <cell r="A114" t="str">
            <v xml:space="preserve">375.00 06900000     </v>
          </cell>
          <cell r="B114">
            <v>47088</v>
          </cell>
          <cell r="C114">
            <v>55</v>
          </cell>
          <cell r="D114" t="str">
            <v xml:space="preserve">R1.5 </v>
          </cell>
          <cell r="E114">
            <v>0</v>
          </cell>
          <cell r="F114">
            <v>15114.18</v>
          </cell>
          <cell r="G114">
            <v>10051</v>
          </cell>
          <cell r="H114">
            <v>5063</v>
          </cell>
          <cell r="I114">
            <v>266</v>
          </cell>
          <cell r="J114">
            <v>1.76</v>
          </cell>
          <cell r="K114">
            <v>19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66.5</v>
          </cell>
          <cell r="P114">
            <v>24.2</v>
          </cell>
          <cell r="Q114">
            <v>7879</v>
          </cell>
          <cell r="R114">
            <v>380</v>
          </cell>
          <cell r="S114">
            <v>2.5099999999999998</v>
          </cell>
        </row>
        <row r="115">
          <cell r="A115" t="str">
            <v xml:space="preserve">375.00 06950000     </v>
          </cell>
          <cell r="B115">
            <v>52201</v>
          </cell>
          <cell r="C115">
            <v>55</v>
          </cell>
          <cell r="D115" t="str">
            <v xml:space="preserve">R1.5 </v>
          </cell>
          <cell r="E115">
            <v>0</v>
          </cell>
          <cell r="F115">
            <v>39815.870000000003</v>
          </cell>
          <cell r="G115">
            <v>11302</v>
          </cell>
          <cell r="H115">
            <v>28514</v>
          </cell>
          <cell r="I115">
            <v>922</v>
          </cell>
          <cell r="J115">
            <v>2.3199999999999998</v>
          </cell>
          <cell r="K115">
            <v>30.9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28.4</v>
          </cell>
          <cell r="P115">
            <v>10.3</v>
          </cell>
          <cell r="Q115">
            <v>8859</v>
          </cell>
          <cell r="R115">
            <v>999</v>
          </cell>
          <cell r="S115">
            <v>2.5099999999999998</v>
          </cell>
        </row>
        <row r="116">
          <cell r="A116" t="str">
            <v xml:space="preserve">375.00 06990000     </v>
          </cell>
          <cell r="B116">
            <v>43070</v>
          </cell>
          <cell r="C116">
            <v>55</v>
          </cell>
          <cell r="D116" t="str">
            <v xml:space="preserve">R1.5 </v>
          </cell>
          <cell r="E116">
            <v>0</v>
          </cell>
          <cell r="F116">
            <v>2760.33</v>
          </cell>
          <cell r="G116">
            <v>2657</v>
          </cell>
          <cell r="H116">
            <v>104</v>
          </cell>
          <cell r="I116">
            <v>11</v>
          </cell>
          <cell r="J116">
            <v>0.4</v>
          </cell>
          <cell r="K116">
            <v>9.5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96.3</v>
          </cell>
          <cell r="P116">
            <v>35.1</v>
          </cell>
          <cell r="Q116">
            <v>2083</v>
          </cell>
          <cell r="R116">
            <v>71</v>
          </cell>
          <cell r="S116">
            <v>2.57</v>
          </cell>
        </row>
        <row r="117">
          <cell r="A117" t="str">
            <v xml:space="preserve">375.00 09960000     </v>
          </cell>
          <cell r="B117">
            <v>42339</v>
          </cell>
          <cell r="C117">
            <v>55</v>
          </cell>
          <cell r="D117" t="str">
            <v xml:space="preserve">R1.5 </v>
          </cell>
          <cell r="E117">
            <v>0</v>
          </cell>
          <cell r="F117">
            <v>1696.47</v>
          </cell>
          <cell r="G117">
            <v>1850</v>
          </cell>
          <cell r="H117">
            <v>-154</v>
          </cell>
          <cell r="I117">
            <v>0</v>
          </cell>
          <cell r="J117">
            <v>0</v>
          </cell>
          <cell r="K117">
            <v>0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109</v>
          </cell>
          <cell r="P117">
            <v>55.3</v>
          </cell>
          <cell r="Q117">
            <v>1450</v>
          </cell>
          <cell r="R117">
            <v>34</v>
          </cell>
          <cell r="S117">
            <v>2</v>
          </cell>
        </row>
        <row r="118">
          <cell r="A118" t="str">
            <v xml:space="preserve">375.00 09990000     </v>
          </cell>
          <cell r="B118">
            <v>48183</v>
          </cell>
          <cell r="C118">
            <v>55</v>
          </cell>
          <cell r="D118" t="str">
            <v xml:space="preserve">R1.5 </v>
          </cell>
          <cell r="E118">
            <v>0</v>
          </cell>
          <cell r="F118">
            <v>54</v>
          </cell>
          <cell r="G118">
            <v>26</v>
          </cell>
          <cell r="H118">
            <v>28</v>
          </cell>
          <cell r="I118">
            <v>1</v>
          </cell>
          <cell r="J118">
            <v>1.85</v>
          </cell>
          <cell r="K118">
            <v>28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48.1</v>
          </cell>
          <cell r="P118">
            <v>15.3</v>
          </cell>
          <cell r="Q118">
            <v>20</v>
          </cell>
          <cell r="R118">
            <v>2</v>
          </cell>
          <cell r="S118">
            <v>3.7</v>
          </cell>
        </row>
        <row r="119">
          <cell r="A119">
            <v>376.1</v>
          </cell>
          <cell r="B119" t="str">
            <v xml:space="preserve">       </v>
          </cell>
          <cell r="C119">
            <v>47</v>
          </cell>
          <cell r="D119" t="str">
            <v xml:space="preserve">R4   </v>
          </cell>
          <cell r="E119">
            <v>0</v>
          </cell>
          <cell r="F119">
            <v>131567589.20999999</v>
          </cell>
          <cell r="G119">
            <v>29933096</v>
          </cell>
          <cell r="H119">
            <v>101634493</v>
          </cell>
          <cell r="I119">
            <v>2951057</v>
          </cell>
          <cell r="J119">
            <v>2.2400000000000002</v>
          </cell>
          <cell r="K119">
            <v>34.4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22.8</v>
          </cell>
          <cell r="P119">
            <v>12.4</v>
          </cell>
          <cell r="Q119">
            <v>34093267</v>
          </cell>
          <cell r="R119">
            <v>2802390</v>
          </cell>
          <cell r="S119">
            <v>2.13</v>
          </cell>
        </row>
        <row r="120">
          <cell r="A120">
            <v>376.2</v>
          </cell>
          <cell r="B120" t="str">
            <v xml:space="preserve">       </v>
          </cell>
          <cell r="C120">
            <v>70</v>
          </cell>
          <cell r="D120" t="str">
            <v xml:space="preserve">S0.5 </v>
          </cell>
          <cell r="E120">
            <v>0</v>
          </cell>
          <cell r="F120">
            <v>118021902.89</v>
          </cell>
          <cell r="G120">
            <v>29743063</v>
          </cell>
          <cell r="H120">
            <v>88278850</v>
          </cell>
          <cell r="I120">
            <v>1717056</v>
          </cell>
          <cell r="J120">
            <v>1.45</v>
          </cell>
          <cell r="K120">
            <v>51.4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25.2</v>
          </cell>
          <cell r="P120">
            <v>23.4</v>
          </cell>
          <cell r="Q120">
            <v>31068836</v>
          </cell>
          <cell r="R120">
            <v>1687713</v>
          </cell>
          <cell r="S120">
            <v>1.43</v>
          </cell>
        </row>
        <row r="121">
          <cell r="A121">
            <v>378</v>
          </cell>
          <cell r="B121" t="str">
            <v xml:space="preserve">       </v>
          </cell>
          <cell r="C121">
            <v>39</v>
          </cell>
          <cell r="D121" t="str">
            <v xml:space="preserve">R1   </v>
          </cell>
          <cell r="E121">
            <v>0</v>
          </cell>
          <cell r="F121">
            <v>11030945.01</v>
          </cell>
          <cell r="G121">
            <v>4354457</v>
          </cell>
          <cell r="H121">
            <v>6676491</v>
          </cell>
          <cell r="I121">
            <v>238596</v>
          </cell>
          <cell r="J121">
            <v>2.16</v>
          </cell>
          <cell r="K121">
            <v>28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39.5</v>
          </cell>
          <cell r="P121">
            <v>18.7</v>
          </cell>
          <cell r="Q121">
            <v>3529314</v>
          </cell>
          <cell r="R121">
            <v>282318</v>
          </cell>
          <cell r="S121">
            <v>2.56</v>
          </cell>
        </row>
        <row r="122">
          <cell r="A122">
            <v>379</v>
          </cell>
          <cell r="B122" t="str">
            <v xml:space="preserve">       </v>
          </cell>
          <cell r="C122">
            <v>40</v>
          </cell>
          <cell r="D122" t="str">
            <v xml:space="preserve">R2   </v>
          </cell>
          <cell r="E122">
            <v>0</v>
          </cell>
          <cell r="F122">
            <v>6204272.3399999999</v>
          </cell>
          <cell r="G122">
            <v>2136915</v>
          </cell>
          <cell r="H122">
            <v>4067356</v>
          </cell>
          <cell r="I122">
            <v>136634</v>
          </cell>
          <cell r="J122">
            <v>2.2000000000000002</v>
          </cell>
          <cell r="K122">
            <v>29.8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34.4</v>
          </cell>
          <cell r="P122">
            <v>14.1</v>
          </cell>
          <cell r="Q122">
            <v>1778455</v>
          </cell>
          <cell r="R122">
            <v>155107</v>
          </cell>
          <cell r="S122">
            <v>2.5</v>
          </cell>
        </row>
        <row r="123">
          <cell r="A123">
            <v>380.1</v>
          </cell>
          <cell r="B123" t="str">
            <v xml:space="preserve">       </v>
          </cell>
          <cell r="C123">
            <v>34</v>
          </cell>
          <cell r="D123" t="str">
            <v xml:space="preserve">R4   </v>
          </cell>
          <cell r="E123">
            <v>0</v>
          </cell>
          <cell r="F123">
            <v>145365575.44</v>
          </cell>
          <cell r="G123">
            <v>52561237</v>
          </cell>
          <cell r="H123">
            <v>92804337</v>
          </cell>
          <cell r="I123">
            <v>4289927</v>
          </cell>
          <cell r="J123">
            <v>2.95</v>
          </cell>
          <cell r="K123">
            <v>21.6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36.200000000000003</v>
          </cell>
          <cell r="P123">
            <v>13</v>
          </cell>
          <cell r="Q123">
            <v>52739783</v>
          </cell>
          <cell r="R123">
            <v>4273748</v>
          </cell>
          <cell r="S123">
            <v>2.94</v>
          </cell>
        </row>
        <row r="124">
          <cell r="A124">
            <v>380.2</v>
          </cell>
          <cell r="B124" t="str">
            <v xml:space="preserve">       </v>
          </cell>
          <cell r="C124">
            <v>45</v>
          </cell>
          <cell r="D124" t="str">
            <v xml:space="preserve">R1   </v>
          </cell>
          <cell r="E124">
            <v>0</v>
          </cell>
          <cell r="F124">
            <v>16464111.220000001</v>
          </cell>
          <cell r="G124">
            <v>8874429</v>
          </cell>
          <cell r="H124">
            <v>7589686</v>
          </cell>
          <cell r="I124">
            <v>283185</v>
          </cell>
          <cell r="J124">
            <v>1.72</v>
          </cell>
          <cell r="K124">
            <v>26.8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53.9</v>
          </cell>
          <cell r="P124">
            <v>31.4</v>
          </cell>
          <cell r="Q124">
            <v>7413410</v>
          </cell>
          <cell r="R124">
            <v>364890</v>
          </cell>
          <cell r="S124">
            <v>2.2200000000000002</v>
          </cell>
        </row>
        <row r="125">
          <cell r="A125">
            <v>381</v>
          </cell>
          <cell r="B125" t="str">
            <v xml:space="preserve">       </v>
          </cell>
          <cell r="C125">
            <v>34</v>
          </cell>
          <cell r="D125" t="str">
            <v xml:space="preserve">S1.5 </v>
          </cell>
          <cell r="E125">
            <v>0</v>
          </cell>
          <cell r="F125">
            <v>35712973.770000003</v>
          </cell>
          <cell r="G125">
            <v>14531269</v>
          </cell>
          <cell r="H125">
            <v>21181706</v>
          </cell>
          <cell r="I125">
            <v>955526</v>
          </cell>
          <cell r="J125">
            <v>2.68</v>
          </cell>
          <cell r="K125">
            <v>22.2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40.700000000000003</v>
          </cell>
          <cell r="P125">
            <v>15.5</v>
          </cell>
          <cell r="Q125">
            <v>13242257</v>
          </cell>
          <cell r="R125">
            <v>1049960</v>
          </cell>
          <cell r="S125">
            <v>2.94</v>
          </cell>
        </row>
        <row r="126">
          <cell r="A126">
            <v>381.1</v>
          </cell>
          <cell r="B126" t="str">
            <v xml:space="preserve">       </v>
          </cell>
          <cell r="C126">
            <v>15</v>
          </cell>
          <cell r="D126" t="str">
            <v xml:space="preserve">R3   </v>
          </cell>
          <cell r="E126">
            <v>0</v>
          </cell>
          <cell r="F126">
            <v>9761839.5199999996</v>
          </cell>
          <cell r="G126">
            <v>1307492</v>
          </cell>
          <cell r="H126">
            <v>8454346</v>
          </cell>
          <cell r="I126">
            <v>730746</v>
          </cell>
          <cell r="J126">
            <v>7.49</v>
          </cell>
          <cell r="K126">
            <v>11.6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13.4</v>
          </cell>
          <cell r="P126">
            <v>3.4</v>
          </cell>
          <cell r="Q126">
            <v>2136302</v>
          </cell>
          <cell r="R126">
            <v>651115</v>
          </cell>
          <cell r="S126">
            <v>6.67</v>
          </cell>
        </row>
        <row r="127">
          <cell r="A127">
            <v>383</v>
          </cell>
          <cell r="B127" t="str">
            <v xml:space="preserve">       </v>
          </cell>
          <cell r="C127">
            <v>35</v>
          </cell>
          <cell r="D127" t="str">
            <v xml:space="preserve">R4   </v>
          </cell>
          <cell r="E127">
            <v>0</v>
          </cell>
          <cell r="F127">
            <v>2582869.1</v>
          </cell>
          <cell r="G127">
            <v>1293957</v>
          </cell>
          <cell r="H127">
            <v>1288913</v>
          </cell>
          <cell r="I127">
            <v>53723</v>
          </cell>
          <cell r="J127">
            <v>2.08</v>
          </cell>
          <cell r="K127">
            <v>24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50.1</v>
          </cell>
          <cell r="P127">
            <v>17.3</v>
          </cell>
          <cell r="Q127">
            <v>1132586</v>
          </cell>
          <cell r="R127">
            <v>72880</v>
          </cell>
          <cell r="S127">
            <v>2.82</v>
          </cell>
        </row>
        <row r="128">
          <cell r="A128">
            <v>384</v>
          </cell>
          <cell r="B128" t="str">
            <v xml:space="preserve">       </v>
          </cell>
          <cell r="C128">
            <v>35</v>
          </cell>
          <cell r="D128" t="str">
            <v xml:space="preserve">R4   </v>
          </cell>
          <cell r="E128">
            <v>0</v>
          </cell>
          <cell r="F128">
            <v>2744905.77</v>
          </cell>
          <cell r="G128">
            <v>1710224</v>
          </cell>
          <cell r="H128">
            <v>1034683</v>
          </cell>
          <cell r="I128">
            <v>45273</v>
          </cell>
          <cell r="J128">
            <v>1.65</v>
          </cell>
          <cell r="K128">
            <v>22.9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62.3</v>
          </cell>
          <cell r="P128">
            <v>21.2</v>
          </cell>
          <cell r="Q128">
            <v>1468388</v>
          </cell>
          <cell r="R128">
            <v>78504</v>
          </cell>
          <cell r="S128">
            <v>2.86</v>
          </cell>
        </row>
        <row r="129">
          <cell r="A129">
            <v>385</v>
          </cell>
          <cell r="B129" t="str">
            <v xml:space="preserve">       </v>
          </cell>
          <cell r="C129">
            <v>35</v>
          </cell>
          <cell r="D129" t="str">
            <v xml:space="preserve">R3   </v>
          </cell>
          <cell r="E129">
            <v>0</v>
          </cell>
          <cell r="F129">
            <v>4832314.5599999996</v>
          </cell>
          <cell r="G129">
            <v>3386690</v>
          </cell>
          <cell r="H129">
            <v>1445624</v>
          </cell>
          <cell r="I129">
            <v>100220</v>
          </cell>
          <cell r="J129">
            <v>2.0699999999999998</v>
          </cell>
          <cell r="K129">
            <v>14.4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70.099999999999994</v>
          </cell>
          <cell r="P129">
            <v>27.8</v>
          </cell>
          <cell r="Q129">
            <v>3113160</v>
          </cell>
          <cell r="R129">
            <v>138204</v>
          </cell>
          <cell r="S129">
            <v>2.86</v>
          </cell>
        </row>
        <row r="130">
          <cell r="A130">
            <v>387</v>
          </cell>
          <cell r="B130" t="str">
            <v xml:space="preserve">       </v>
          </cell>
          <cell r="C130">
            <v>29</v>
          </cell>
          <cell r="D130" t="str">
            <v xml:space="preserve">L2   </v>
          </cell>
          <cell r="E130">
            <v>0</v>
          </cell>
          <cell r="F130">
            <v>32249.86</v>
          </cell>
          <cell r="G130">
            <v>30506</v>
          </cell>
          <cell r="H130">
            <v>1745</v>
          </cell>
          <cell r="I130">
            <v>119</v>
          </cell>
          <cell r="J130">
            <v>0.37</v>
          </cell>
          <cell r="K130">
            <v>14.7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94.6</v>
          </cell>
          <cell r="P130">
            <v>27.8</v>
          </cell>
          <cell r="Q130">
            <v>19143</v>
          </cell>
          <cell r="R130">
            <v>1113</v>
          </cell>
          <cell r="S130">
            <v>3.45</v>
          </cell>
        </row>
        <row r="131">
          <cell r="A131">
            <v>389.1</v>
          </cell>
          <cell r="B131" t="str">
            <v xml:space="preserve">       </v>
          </cell>
          <cell r="C131">
            <v>0</v>
          </cell>
          <cell r="D131" t="str">
            <v xml:space="preserve">ND   </v>
          </cell>
          <cell r="E131">
            <v>0</v>
          </cell>
          <cell r="F131">
            <v>759928.3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 xml:space="preserve">390.00 00150000     </v>
          </cell>
          <cell r="B132">
            <v>42339</v>
          </cell>
          <cell r="C132">
            <v>60</v>
          </cell>
          <cell r="D132" t="str">
            <v xml:space="preserve">L0   </v>
          </cell>
          <cell r="E132">
            <v>0</v>
          </cell>
          <cell r="F132">
            <v>570263.12</v>
          </cell>
          <cell r="G132">
            <v>389586</v>
          </cell>
          <cell r="H132">
            <v>180675</v>
          </cell>
          <cell r="I132">
            <v>22810</v>
          </cell>
          <cell r="J132">
            <v>4</v>
          </cell>
          <cell r="K132">
            <v>7.9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68.3</v>
          </cell>
          <cell r="P132">
            <v>23.3</v>
          </cell>
          <cell r="Q132">
            <v>359707</v>
          </cell>
          <cell r="R132">
            <v>26630</v>
          </cell>
          <cell r="S132">
            <v>4.67</v>
          </cell>
        </row>
        <row r="133">
          <cell r="A133" t="str">
            <v xml:space="preserve">390.00 00610000     </v>
          </cell>
          <cell r="B133">
            <v>45992</v>
          </cell>
          <cell r="C133">
            <v>60</v>
          </cell>
          <cell r="D133" t="str">
            <v xml:space="preserve">L0   </v>
          </cell>
          <cell r="E133">
            <v>0</v>
          </cell>
          <cell r="F133">
            <v>217873.47</v>
          </cell>
          <cell r="G133">
            <v>124887</v>
          </cell>
          <cell r="H133">
            <v>92987</v>
          </cell>
          <cell r="I133">
            <v>5745</v>
          </cell>
          <cell r="J133">
            <v>2.64</v>
          </cell>
          <cell r="K133">
            <v>16.2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57.3</v>
          </cell>
          <cell r="P133">
            <v>26</v>
          </cell>
          <cell r="Q133">
            <v>115309</v>
          </cell>
          <cell r="R133">
            <v>6345</v>
          </cell>
          <cell r="S133">
            <v>2.91</v>
          </cell>
        </row>
        <row r="134">
          <cell r="A134" t="str">
            <v xml:space="preserve">390.00 00770000     </v>
          </cell>
          <cell r="B134">
            <v>46357</v>
          </cell>
          <cell r="C134">
            <v>60</v>
          </cell>
          <cell r="D134" t="str">
            <v xml:space="preserve">L0   </v>
          </cell>
          <cell r="E134">
            <v>0</v>
          </cell>
          <cell r="F134">
            <v>263104.69</v>
          </cell>
          <cell r="G134">
            <v>137688</v>
          </cell>
          <cell r="H134">
            <v>125419</v>
          </cell>
          <cell r="I134">
            <v>7353</v>
          </cell>
          <cell r="J134">
            <v>2.79</v>
          </cell>
          <cell r="K134">
            <v>17.100000000000001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52.3</v>
          </cell>
          <cell r="P134">
            <v>27.7</v>
          </cell>
          <cell r="Q134">
            <v>127128</v>
          </cell>
          <cell r="R134">
            <v>7993</v>
          </cell>
          <cell r="S134">
            <v>3.04</v>
          </cell>
        </row>
        <row r="135">
          <cell r="A135" t="str">
            <v xml:space="preserve">390.00 00930000     </v>
          </cell>
          <cell r="B135">
            <v>50375</v>
          </cell>
          <cell r="C135">
            <v>60</v>
          </cell>
          <cell r="D135" t="str">
            <v xml:space="preserve">L0   </v>
          </cell>
          <cell r="E135">
            <v>0</v>
          </cell>
          <cell r="F135">
            <v>8778.32</v>
          </cell>
          <cell r="G135">
            <v>3615</v>
          </cell>
          <cell r="H135">
            <v>5163</v>
          </cell>
          <cell r="I135">
            <v>209</v>
          </cell>
          <cell r="J135">
            <v>2.38</v>
          </cell>
          <cell r="K135">
            <v>24.7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41.2</v>
          </cell>
          <cell r="P135">
            <v>20.3</v>
          </cell>
          <cell r="Q135">
            <v>3338</v>
          </cell>
          <cell r="R135">
            <v>220</v>
          </cell>
          <cell r="S135">
            <v>2.5099999999999998</v>
          </cell>
        </row>
        <row r="136">
          <cell r="A136" t="str">
            <v xml:space="preserve">390.00 00970000     </v>
          </cell>
          <cell r="B136">
            <v>53662</v>
          </cell>
          <cell r="C136">
            <v>60</v>
          </cell>
          <cell r="D136" t="str">
            <v xml:space="preserve">L0   </v>
          </cell>
          <cell r="E136">
            <v>0</v>
          </cell>
          <cell r="F136">
            <v>1937</v>
          </cell>
          <cell r="G136">
            <v>461</v>
          </cell>
          <cell r="H136">
            <v>1476</v>
          </cell>
          <cell r="I136">
            <v>47</v>
          </cell>
          <cell r="J136">
            <v>2.4300000000000002</v>
          </cell>
          <cell r="K136">
            <v>31.4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23.8</v>
          </cell>
          <cell r="P136">
            <v>11.3</v>
          </cell>
          <cell r="Q136">
            <v>426</v>
          </cell>
          <cell r="R136">
            <v>49</v>
          </cell>
          <cell r="S136">
            <v>2.5299999999999998</v>
          </cell>
        </row>
        <row r="137">
          <cell r="A137" t="str">
            <v xml:space="preserve">390.00 00990000     </v>
          </cell>
          <cell r="B137">
            <v>54027</v>
          </cell>
          <cell r="C137">
            <v>60</v>
          </cell>
          <cell r="D137" t="str">
            <v xml:space="preserve">L0   </v>
          </cell>
          <cell r="E137">
            <v>0</v>
          </cell>
          <cell r="F137">
            <v>18121.650000000001</v>
          </cell>
          <cell r="G137">
            <v>3963</v>
          </cell>
          <cell r="H137">
            <v>14159</v>
          </cell>
          <cell r="I137">
            <v>445</v>
          </cell>
          <cell r="J137">
            <v>2.46</v>
          </cell>
          <cell r="K137">
            <v>31.8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21.9</v>
          </cell>
          <cell r="P137">
            <v>10.3</v>
          </cell>
          <cell r="Q137">
            <v>3659</v>
          </cell>
          <cell r="R137">
            <v>455</v>
          </cell>
          <cell r="S137">
            <v>2.5099999999999998</v>
          </cell>
        </row>
        <row r="138">
          <cell r="A138" t="str">
            <v xml:space="preserve">390.00 02080000     </v>
          </cell>
          <cell r="B138">
            <v>54027</v>
          </cell>
          <cell r="C138">
            <v>60</v>
          </cell>
          <cell r="D138" t="str">
            <v xml:space="preserve">L0   </v>
          </cell>
          <cell r="E138">
            <v>0</v>
          </cell>
          <cell r="F138">
            <v>548498.22</v>
          </cell>
          <cell r="G138">
            <v>45192</v>
          </cell>
          <cell r="H138">
            <v>503308</v>
          </cell>
          <cell r="I138">
            <v>15175</v>
          </cell>
          <cell r="J138">
            <v>2.77</v>
          </cell>
          <cell r="K138">
            <v>33.200000000000003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8.1999999999999993</v>
          </cell>
          <cell r="P138">
            <v>4.9000000000000004</v>
          </cell>
          <cell r="Q138">
            <v>41726</v>
          </cell>
          <cell r="R138">
            <v>15300</v>
          </cell>
          <cell r="S138">
            <v>2.79</v>
          </cell>
        </row>
        <row r="139">
          <cell r="A139" t="str">
            <v xml:space="preserve">390.00 02090000     </v>
          </cell>
          <cell r="B139">
            <v>52566</v>
          </cell>
          <cell r="C139">
            <v>60</v>
          </cell>
          <cell r="D139" t="str">
            <v xml:space="preserve">L0   </v>
          </cell>
          <cell r="E139">
            <v>0</v>
          </cell>
          <cell r="F139">
            <v>550642.68000000005</v>
          </cell>
          <cell r="G139">
            <v>164970</v>
          </cell>
          <cell r="H139">
            <v>385671</v>
          </cell>
          <cell r="I139">
            <v>13317</v>
          </cell>
          <cell r="J139">
            <v>2.42</v>
          </cell>
          <cell r="K139">
            <v>29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30</v>
          </cell>
          <cell r="P139">
            <v>18.5</v>
          </cell>
          <cell r="Q139">
            <v>152318</v>
          </cell>
          <cell r="R139">
            <v>13774</v>
          </cell>
          <cell r="S139">
            <v>2.5</v>
          </cell>
        </row>
        <row r="140">
          <cell r="A140" t="str">
            <v xml:space="preserve">390.00 02100000     </v>
          </cell>
          <cell r="B140">
            <v>40513</v>
          </cell>
          <cell r="C140">
            <v>60</v>
          </cell>
          <cell r="D140" t="str">
            <v xml:space="preserve">L0   </v>
          </cell>
          <cell r="E140">
            <v>0</v>
          </cell>
          <cell r="F140">
            <v>19314.439999999999</v>
          </cell>
          <cell r="G140">
            <v>17962</v>
          </cell>
          <cell r="H140">
            <v>1352</v>
          </cell>
          <cell r="I140">
            <v>424</v>
          </cell>
          <cell r="J140">
            <v>2.2000000000000002</v>
          </cell>
          <cell r="K140">
            <v>3.2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93</v>
          </cell>
          <cell r="P140">
            <v>27.8</v>
          </cell>
          <cell r="Q140">
            <v>16584</v>
          </cell>
          <cell r="R140">
            <v>856</v>
          </cell>
          <cell r="S140">
            <v>4.43</v>
          </cell>
        </row>
        <row r="141">
          <cell r="A141" t="str">
            <v xml:space="preserve">390.00 02110000     </v>
          </cell>
          <cell r="B141">
            <v>51105</v>
          </cell>
          <cell r="C141">
            <v>60</v>
          </cell>
          <cell r="D141" t="str">
            <v xml:space="preserve">L0   </v>
          </cell>
          <cell r="E141">
            <v>0</v>
          </cell>
          <cell r="F141">
            <v>284469.24</v>
          </cell>
          <cell r="G141">
            <v>81624</v>
          </cell>
          <cell r="H141">
            <v>202846</v>
          </cell>
          <cell r="I141">
            <v>7585</v>
          </cell>
          <cell r="J141">
            <v>2.67</v>
          </cell>
          <cell r="K141">
            <v>26.7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28.7</v>
          </cell>
          <cell r="P141">
            <v>13</v>
          </cell>
          <cell r="Q141">
            <v>75364</v>
          </cell>
          <cell r="R141">
            <v>7824</v>
          </cell>
          <cell r="S141">
            <v>2.75</v>
          </cell>
        </row>
        <row r="142">
          <cell r="A142" t="str">
            <v xml:space="preserve">390.00 02120000     </v>
          </cell>
          <cell r="B142">
            <v>54758</v>
          </cell>
          <cell r="C142">
            <v>60</v>
          </cell>
          <cell r="D142" t="str">
            <v xml:space="preserve">L0   </v>
          </cell>
          <cell r="E142">
            <v>0</v>
          </cell>
          <cell r="F142">
            <v>168.5</v>
          </cell>
          <cell r="G142">
            <v>88</v>
          </cell>
          <cell r="H142">
            <v>81</v>
          </cell>
          <cell r="I142">
            <v>3</v>
          </cell>
          <cell r="J142">
            <v>1.78</v>
          </cell>
          <cell r="K142">
            <v>27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52.2</v>
          </cell>
          <cell r="P142">
            <v>47.3</v>
          </cell>
          <cell r="Q142">
            <v>81</v>
          </cell>
          <cell r="R142">
            <v>3</v>
          </cell>
          <cell r="S142">
            <v>1.78</v>
          </cell>
        </row>
        <row r="143">
          <cell r="A143" t="str">
            <v xml:space="preserve">390.00 02130000     </v>
          </cell>
          <cell r="B143">
            <v>54393</v>
          </cell>
          <cell r="C143">
            <v>60</v>
          </cell>
          <cell r="D143" t="str">
            <v xml:space="preserve">L0   </v>
          </cell>
          <cell r="E143">
            <v>0</v>
          </cell>
          <cell r="F143">
            <v>1204405.53</v>
          </cell>
          <cell r="G143">
            <v>356873</v>
          </cell>
          <cell r="H143">
            <v>847531</v>
          </cell>
          <cell r="I143">
            <v>26848</v>
          </cell>
          <cell r="J143">
            <v>2.23</v>
          </cell>
          <cell r="K143">
            <v>31.6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29.6</v>
          </cell>
          <cell r="P143">
            <v>20</v>
          </cell>
          <cell r="Q143">
            <v>331424</v>
          </cell>
          <cell r="R143">
            <v>27708</v>
          </cell>
          <cell r="S143">
            <v>2.2999999999999998</v>
          </cell>
        </row>
        <row r="144">
          <cell r="A144" t="str">
            <v xml:space="preserve">390.00 02140000     </v>
          </cell>
          <cell r="B144">
            <v>47088</v>
          </cell>
          <cell r="C144">
            <v>60</v>
          </cell>
          <cell r="D144" t="str">
            <v xml:space="preserve">L0   </v>
          </cell>
          <cell r="E144">
            <v>0</v>
          </cell>
          <cell r="F144">
            <v>98465.13</v>
          </cell>
          <cell r="G144">
            <v>55426</v>
          </cell>
          <cell r="H144">
            <v>43038</v>
          </cell>
          <cell r="I144">
            <v>2354</v>
          </cell>
          <cell r="J144">
            <v>2.39</v>
          </cell>
          <cell r="K144">
            <v>18.3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56.3</v>
          </cell>
          <cell r="P144">
            <v>27.6</v>
          </cell>
          <cell r="Q144">
            <v>51175</v>
          </cell>
          <cell r="R144">
            <v>2589</v>
          </cell>
          <cell r="S144">
            <v>2.63</v>
          </cell>
        </row>
        <row r="145">
          <cell r="A145" t="str">
            <v xml:space="preserve">390.00 02150000     </v>
          </cell>
          <cell r="B145">
            <v>52566</v>
          </cell>
          <cell r="C145">
            <v>60</v>
          </cell>
          <cell r="D145" t="str">
            <v xml:space="preserve">L0   </v>
          </cell>
          <cell r="E145">
            <v>0</v>
          </cell>
          <cell r="F145">
            <v>60556.78</v>
          </cell>
          <cell r="G145">
            <v>23243</v>
          </cell>
          <cell r="H145">
            <v>37314</v>
          </cell>
          <cell r="I145">
            <v>1328</v>
          </cell>
          <cell r="J145">
            <v>2.19</v>
          </cell>
          <cell r="K145">
            <v>28.1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38.4</v>
          </cell>
          <cell r="P145">
            <v>25</v>
          </cell>
          <cell r="Q145">
            <v>21460</v>
          </cell>
          <cell r="R145">
            <v>1394</v>
          </cell>
          <cell r="S145">
            <v>2.2999999999999998</v>
          </cell>
        </row>
        <row r="146">
          <cell r="A146" t="str">
            <v xml:space="preserve">390.00 02160000     </v>
          </cell>
          <cell r="B146">
            <v>45627</v>
          </cell>
          <cell r="C146">
            <v>60</v>
          </cell>
          <cell r="D146" t="str">
            <v xml:space="preserve">L0   </v>
          </cell>
          <cell r="E146">
            <v>0</v>
          </cell>
          <cell r="F146">
            <v>144812.95000000001</v>
          </cell>
          <cell r="G146">
            <v>73899</v>
          </cell>
          <cell r="H146">
            <v>70913</v>
          </cell>
          <cell r="I146">
            <v>4533</v>
          </cell>
          <cell r="J146">
            <v>3.13</v>
          </cell>
          <cell r="K146">
            <v>15.6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51</v>
          </cell>
          <cell r="P146">
            <v>23.2</v>
          </cell>
          <cell r="Q146">
            <v>68231</v>
          </cell>
          <cell r="R146">
            <v>4903</v>
          </cell>
          <cell r="S146">
            <v>3.39</v>
          </cell>
        </row>
        <row r="147">
          <cell r="A147" t="str">
            <v xml:space="preserve">390.00 02170000     </v>
          </cell>
          <cell r="B147">
            <v>53297</v>
          </cell>
          <cell r="C147">
            <v>60</v>
          </cell>
          <cell r="D147" t="str">
            <v xml:space="preserve">L0   </v>
          </cell>
          <cell r="E147">
            <v>0</v>
          </cell>
          <cell r="F147">
            <v>237949.2</v>
          </cell>
          <cell r="G147">
            <v>75127</v>
          </cell>
          <cell r="H147">
            <v>162823</v>
          </cell>
          <cell r="I147">
            <v>5454</v>
          </cell>
          <cell r="J147">
            <v>2.29</v>
          </cell>
          <cell r="K147">
            <v>29.9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31.6</v>
          </cell>
          <cell r="P147">
            <v>19.600000000000001</v>
          </cell>
          <cell r="Q147">
            <v>69365</v>
          </cell>
          <cell r="R147">
            <v>5654</v>
          </cell>
          <cell r="S147">
            <v>2.38</v>
          </cell>
        </row>
        <row r="148">
          <cell r="A148" t="str">
            <v xml:space="preserve">390.00 02180000     </v>
          </cell>
          <cell r="B148">
            <v>48183</v>
          </cell>
          <cell r="C148">
            <v>60</v>
          </cell>
          <cell r="D148" t="str">
            <v xml:space="preserve">L0   </v>
          </cell>
          <cell r="E148">
            <v>0</v>
          </cell>
          <cell r="F148">
            <v>62697.82</v>
          </cell>
          <cell r="G148">
            <v>33023</v>
          </cell>
          <cell r="H148">
            <v>29675</v>
          </cell>
          <cell r="I148">
            <v>1454</v>
          </cell>
          <cell r="J148">
            <v>2.3199999999999998</v>
          </cell>
          <cell r="K148">
            <v>20.399999999999999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52.7</v>
          </cell>
          <cell r="P148">
            <v>26.1</v>
          </cell>
          <cell r="Q148">
            <v>30490</v>
          </cell>
          <cell r="R148">
            <v>1580</v>
          </cell>
          <cell r="S148">
            <v>2.52</v>
          </cell>
        </row>
        <row r="149">
          <cell r="A149" t="str">
            <v xml:space="preserve">390.00 02190000     </v>
          </cell>
          <cell r="B149">
            <v>47818</v>
          </cell>
          <cell r="C149">
            <v>60</v>
          </cell>
          <cell r="D149" t="str">
            <v xml:space="preserve">L0   </v>
          </cell>
          <cell r="E149">
            <v>0</v>
          </cell>
          <cell r="F149">
            <v>32472.21</v>
          </cell>
          <cell r="G149">
            <v>17522</v>
          </cell>
          <cell r="H149">
            <v>14950</v>
          </cell>
          <cell r="I149">
            <v>758</v>
          </cell>
          <cell r="J149">
            <v>2.33</v>
          </cell>
          <cell r="K149">
            <v>19.7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54</v>
          </cell>
          <cell r="P149">
            <v>29.5</v>
          </cell>
          <cell r="Q149">
            <v>16178</v>
          </cell>
          <cell r="R149">
            <v>828</v>
          </cell>
          <cell r="S149">
            <v>2.5499999999999998</v>
          </cell>
        </row>
        <row r="150">
          <cell r="A150" t="str">
            <v xml:space="preserve">390.00 02210000     </v>
          </cell>
          <cell r="B150">
            <v>52201</v>
          </cell>
          <cell r="C150">
            <v>60</v>
          </cell>
          <cell r="D150" t="str">
            <v xml:space="preserve">L0   </v>
          </cell>
          <cell r="E150">
            <v>0</v>
          </cell>
          <cell r="F150">
            <v>187289.11</v>
          </cell>
          <cell r="G150">
            <v>64554</v>
          </cell>
          <cell r="H150">
            <v>122734</v>
          </cell>
          <cell r="I150">
            <v>4380</v>
          </cell>
          <cell r="J150">
            <v>2.34</v>
          </cell>
          <cell r="K150">
            <v>28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34.5</v>
          </cell>
          <cell r="P150">
            <v>19.899999999999999</v>
          </cell>
          <cell r="Q150">
            <v>59603</v>
          </cell>
          <cell r="R150">
            <v>4563</v>
          </cell>
          <cell r="S150">
            <v>2.44</v>
          </cell>
        </row>
        <row r="151">
          <cell r="A151" t="str">
            <v xml:space="preserve">390.00 02220000     </v>
          </cell>
          <cell r="B151">
            <v>53297</v>
          </cell>
          <cell r="C151">
            <v>60</v>
          </cell>
          <cell r="D151" t="str">
            <v xml:space="preserve">L0   </v>
          </cell>
          <cell r="E151">
            <v>0</v>
          </cell>
          <cell r="F151">
            <v>222071.81</v>
          </cell>
          <cell r="G151">
            <v>55134</v>
          </cell>
          <cell r="H151">
            <v>166938</v>
          </cell>
          <cell r="I151">
            <v>5477</v>
          </cell>
          <cell r="J151">
            <v>2.4700000000000002</v>
          </cell>
          <cell r="K151">
            <v>30.5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24.8</v>
          </cell>
          <cell r="P151">
            <v>14.8</v>
          </cell>
          <cell r="Q151">
            <v>50906</v>
          </cell>
          <cell r="R151">
            <v>5622</v>
          </cell>
          <cell r="S151">
            <v>2.5299999999999998</v>
          </cell>
        </row>
        <row r="152">
          <cell r="A152" t="str">
            <v xml:space="preserve">390.00 02250000     </v>
          </cell>
          <cell r="B152">
            <v>47088</v>
          </cell>
          <cell r="C152">
            <v>60</v>
          </cell>
          <cell r="D152" t="str">
            <v xml:space="preserve">L0   </v>
          </cell>
          <cell r="E152">
            <v>0</v>
          </cell>
          <cell r="F152">
            <v>95721.07</v>
          </cell>
          <cell r="G152">
            <v>60787</v>
          </cell>
          <cell r="H152">
            <v>34933</v>
          </cell>
          <cell r="I152">
            <v>1974</v>
          </cell>
          <cell r="J152">
            <v>2.06</v>
          </cell>
          <cell r="K152">
            <v>17.7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63.5</v>
          </cell>
          <cell r="P152">
            <v>47.6</v>
          </cell>
          <cell r="Q152">
            <v>56125</v>
          </cell>
          <cell r="R152">
            <v>2249</v>
          </cell>
          <cell r="S152">
            <v>2.35</v>
          </cell>
        </row>
        <row r="153">
          <cell r="A153" t="str">
            <v xml:space="preserve">390.00 04220000     </v>
          </cell>
          <cell r="B153">
            <v>50375</v>
          </cell>
          <cell r="C153">
            <v>60</v>
          </cell>
          <cell r="D153" t="str">
            <v xml:space="preserve">L0   </v>
          </cell>
          <cell r="E153">
            <v>0</v>
          </cell>
          <cell r="F153">
            <v>724070.87</v>
          </cell>
          <cell r="G153">
            <v>215331</v>
          </cell>
          <cell r="H153">
            <v>508741</v>
          </cell>
          <cell r="I153">
            <v>19961</v>
          </cell>
          <cell r="J153">
            <v>2.76</v>
          </cell>
          <cell r="K153">
            <v>25.5</v>
          </cell>
          <cell r="L153" t="str">
            <v xml:space="preserve">      </v>
          </cell>
          <cell r="M153" t="str">
            <v xml:space="preserve">     </v>
          </cell>
          <cell r="N153">
            <v>0</v>
          </cell>
          <cell r="O153">
            <v>29.7</v>
          </cell>
          <cell r="P153">
            <v>15.4</v>
          </cell>
          <cell r="Q153">
            <v>198817</v>
          </cell>
          <cell r="R153">
            <v>20630</v>
          </cell>
          <cell r="S153">
            <v>2.85</v>
          </cell>
        </row>
        <row r="154">
          <cell r="A154" t="str">
            <v xml:space="preserve">390.00 04230000     </v>
          </cell>
          <cell r="B154">
            <v>43070</v>
          </cell>
          <cell r="C154">
            <v>60</v>
          </cell>
          <cell r="D154" t="str">
            <v xml:space="preserve">L0   </v>
          </cell>
          <cell r="E154">
            <v>0</v>
          </cell>
          <cell r="F154">
            <v>305069.71000000002</v>
          </cell>
          <cell r="G154">
            <v>98397</v>
          </cell>
          <cell r="H154">
            <v>206672</v>
          </cell>
          <cell r="I154">
            <v>20950</v>
          </cell>
          <cell r="J154">
            <v>6.87</v>
          </cell>
          <cell r="K154">
            <v>9.9</v>
          </cell>
          <cell r="L154" t="str">
            <v xml:space="preserve">      </v>
          </cell>
          <cell r="M154" t="str">
            <v xml:space="preserve">     </v>
          </cell>
          <cell r="N154">
            <v>0</v>
          </cell>
          <cell r="O154">
            <v>32.299999999999997</v>
          </cell>
          <cell r="P154">
            <v>5.0999999999999996</v>
          </cell>
          <cell r="Q154">
            <v>90851</v>
          </cell>
          <cell r="R154">
            <v>21705</v>
          </cell>
          <cell r="S154">
            <v>7.11</v>
          </cell>
        </row>
        <row r="155">
          <cell r="A155" t="str">
            <v xml:space="preserve">390.00 04300000     </v>
          </cell>
          <cell r="B155">
            <v>42339</v>
          </cell>
          <cell r="C155">
            <v>60</v>
          </cell>
          <cell r="D155" t="str">
            <v xml:space="preserve">L0   </v>
          </cell>
          <cell r="E155">
            <v>0</v>
          </cell>
          <cell r="F155">
            <v>124009.96</v>
          </cell>
          <cell r="G155">
            <v>79334</v>
          </cell>
          <cell r="H155">
            <v>44676</v>
          </cell>
          <cell r="I155">
            <v>5639</v>
          </cell>
          <cell r="J155">
            <v>4.55</v>
          </cell>
          <cell r="K155">
            <v>7.9</v>
          </cell>
          <cell r="L155" t="str">
            <v xml:space="preserve">      </v>
          </cell>
          <cell r="M155" t="str">
            <v xml:space="preserve">     </v>
          </cell>
          <cell r="N155">
            <v>0</v>
          </cell>
          <cell r="O155">
            <v>64</v>
          </cell>
          <cell r="P155">
            <v>14.2</v>
          </cell>
          <cell r="Q155">
            <v>73250</v>
          </cell>
          <cell r="R155">
            <v>6409</v>
          </cell>
          <cell r="S155">
            <v>5.17</v>
          </cell>
        </row>
        <row r="156">
          <cell r="A156" t="str">
            <v xml:space="preserve">390.00 04440000     </v>
          </cell>
          <cell r="B156">
            <v>55488</v>
          </cell>
          <cell r="C156">
            <v>60</v>
          </cell>
          <cell r="D156" t="str">
            <v xml:space="preserve">L0   </v>
          </cell>
          <cell r="E156">
            <v>0</v>
          </cell>
          <cell r="F156">
            <v>349694.35</v>
          </cell>
          <cell r="G156">
            <v>39113</v>
          </cell>
          <cell r="H156">
            <v>310581</v>
          </cell>
          <cell r="I156">
            <v>8859</v>
          </cell>
          <cell r="J156">
            <v>2.5299999999999998</v>
          </cell>
          <cell r="K156">
            <v>35.1</v>
          </cell>
          <cell r="L156" t="str">
            <v xml:space="preserve">      </v>
          </cell>
          <cell r="M156" t="str">
            <v xml:space="preserve">     </v>
          </cell>
          <cell r="N156">
            <v>0</v>
          </cell>
          <cell r="O156">
            <v>11.2</v>
          </cell>
          <cell r="P156">
            <v>5.2</v>
          </cell>
          <cell r="Q156">
            <v>36989</v>
          </cell>
          <cell r="R156">
            <v>8916</v>
          </cell>
          <cell r="S156">
            <v>2.5499999999999998</v>
          </cell>
        </row>
        <row r="157">
          <cell r="A157" t="str">
            <v xml:space="preserve">390.00 04600000     </v>
          </cell>
          <cell r="B157">
            <v>54027</v>
          </cell>
          <cell r="C157">
            <v>60</v>
          </cell>
          <cell r="D157" t="str">
            <v xml:space="preserve">L0   </v>
          </cell>
          <cell r="E157">
            <v>0</v>
          </cell>
          <cell r="F157">
            <v>4620241.0199999996</v>
          </cell>
          <cell r="G157">
            <v>995843</v>
          </cell>
          <cell r="H157">
            <v>3624398</v>
          </cell>
          <cell r="I157">
            <v>113790</v>
          </cell>
          <cell r="J157">
            <v>2.46</v>
          </cell>
          <cell r="K157">
            <v>31.9</v>
          </cell>
          <cell r="L157" t="str">
            <v xml:space="preserve">      </v>
          </cell>
          <cell r="M157" t="str">
            <v xml:space="preserve">     </v>
          </cell>
          <cell r="N157">
            <v>0</v>
          </cell>
          <cell r="O157">
            <v>21.6</v>
          </cell>
          <cell r="P157">
            <v>10.1</v>
          </cell>
          <cell r="Q157">
            <v>919469</v>
          </cell>
          <cell r="R157">
            <v>116277</v>
          </cell>
          <cell r="S157">
            <v>2.52</v>
          </cell>
        </row>
        <row r="158">
          <cell r="A158" t="str">
            <v xml:space="preserve">390.00 04690000     </v>
          </cell>
          <cell r="B158">
            <v>53297</v>
          </cell>
          <cell r="C158">
            <v>60</v>
          </cell>
          <cell r="D158" t="str">
            <v xml:space="preserve">L0   </v>
          </cell>
          <cell r="E158">
            <v>0</v>
          </cell>
          <cell r="F158">
            <v>42245.59</v>
          </cell>
          <cell r="G158">
            <v>10465</v>
          </cell>
          <cell r="H158">
            <v>31781</v>
          </cell>
          <cell r="I158">
            <v>1043</v>
          </cell>
          <cell r="J158">
            <v>2.4700000000000002</v>
          </cell>
          <cell r="K158">
            <v>30.5</v>
          </cell>
          <cell r="L158" t="str">
            <v xml:space="preserve">      </v>
          </cell>
          <cell r="M158" t="str">
            <v xml:space="preserve">     </v>
          </cell>
          <cell r="N158">
            <v>0</v>
          </cell>
          <cell r="O158">
            <v>24.8</v>
          </cell>
          <cell r="P158">
            <v>11.6</v>
          </cell>
          <cell r="Q158">
            <v>9662</v>
          </cell>
          <cell r="R158">
            <v>1070</v>
          </cell>
          <cell r="S158">
            <v>2.5299999999999998</v>
          </cell>
        </row>
        <row r="159">
          <cell r="A159" t="str">
            <v xml:space="preserve">390.00 04700000     </v>
          </cell>
          <cell r="B159">
            <v>54758</v>
          </cell>
          <cell r="C159">
            <v>60</v>
          </cell>
          <cell r="D159" t="str">
            <v xml:space="preserve">L0   </v>
          </cell>
          <cell r="E159">
            <v>0</v>
          </cell>
          <cell r="F159">
            <v>223174.41</v>
          </cell>
          <cell r="G159">
            <v>42987</v>
          </cell>
          <cell r="H159">
            <v>180188</v>
          </cell>
          <cell r="I159">
            <v>5436</v>
          </cell>
          <cell r="J159">
            <v>2.44</v>
          </cell>
          <cell r="K159">
            <v>33.1</v>
          </cell>
          <cell r="L159" t="str">
            <v xml:space="preserve">      </v>
          </cell>
          <cell r="M159" t="str">
            <v xml:space="preserve">     </v>
          </cell>
          <cell r="N159">
            <v>0</v>
          </cell>
          <cell r="O159">
            <v>19.3</v>
          </cell>
          <cell r="P159">
            <v>9.1</v>
          </cell>
          <cell r="Q159">
            <v>39690</v>
          </cell>
          <cell r="R159">
            <v>5528</v>
          </cell>
          <cell r="S159">
            <v>2.48</v>
          </cell>
        </row>
        <row r="160">
          <cell r="A160" t="str">
            <v xml:space="preserve">390.00 04710000     </v>
          </cell>
          <cell r="B160">
            <v>54393</v>
          </cell>
          <cell r="C160">
            <v>60</v>
          </cell>
          <cell r="D160" t="str">
            <v xml:space="preserve">L0   </v>
          </cell>
          <cell r="E160">
            <v>0</v>
          </cell>
          <cell r="F160">
            <v>209019.8</v>
          </cell>
          <cell r="G160">
            <v>32583</v>
          </cell>
          <cell r="H160">
            <v>176437</v>
          </cell>
          <cell r="I160">
            <v>5352</v>
          </cell>
          <cell r="J160">
            <v>2.56</v>
          </cell>
          <cell r="K160">
            <v>33</v>
          </cell>
          <cell r="L160" t="str">
            <v xml:space="preserve">      </v>
          </cell>
          <cell r="M160" t="str">
            <v xml:space="preserve">     </v>
          </cell>
          <cell r="N160">
            <v>0</v>
          </cell>
          <cell r="O160">
            <v>15.6</v>
          </cell>
          <cell r="P160">
            <v>6.8</v>
          </cell>
          <cell r="Q160">
            <v>30084</v>
          </cell>
          <cell r="R160">
            <v>5433</v>
          </cell>
          <cell r="S160">
            <v>2.6</v>
          </cell>
        </row>
        <row r="161">
          <cell r="A161" t="str">
            <v xml:space="preserve">390.00 04720000     </v>
          </cell>
          <cell r="B161">
            <v>43800</v>
          </cell>
          <cell r="C161">
            <v>60</v>
          </cell>
          <cell r="D161" t="str">
            <v xml:space="preserve">L0   </v>
          </cell>
          <cell r="E161">
            <v>0</v>
          </cell>
          <cell r="F161">
            <v>315000</v>
          </cell>
          <cell r="G161">
            <v>128346</v>
          </cell>
          <cell r="H161">
            <v>186654</v>
          </cell>
          <cell r="I161">
            <v>16105</v>
          </cell>
          <cell r="J161">
            <v>5.1100000000000003</v>
          </cell>
          <cell r="K161">
            <v>11.6</v>
          </cell>
          <cell r="L161" t="str">
            <v xml:space="preserve">      </v>
          </cell>
          <cell r="M161" t="str">
            <v xml:space="preserve">     </v>
          </cell>
          <cell r="N161">
            <v>0</v>
          </cell>
          <cell r="O161">
            <v>40.700000000000003</v>
          </cell>
          <cell r="P161">
            <v>7.6</v>
          </cell>
          <cell r="Q161">
            <v>118503</v>
          </cell>
          <cell r="R161">
            <v>16947</v>
          </cell>
          <cell r="S161">
            <v>5.38</v>
          </cell>
        </row>
        <row r="162">
          <cell r="A162" t="str">
            <v xml:space="preserve">390.00 05250000     </v>
          </cell>
          <cell r="B162">
            <v>40513</v>
          </cell>
          <cell r="C162">
            <v>60</v>
          </cell>
          <cell r="D162" t="str">
            <v xml:space="preserve">L0   </v>
          </cell>
          <cell r="E162">
            <v>0</v>
          </cell>
          <cell r="F162">
            <v>233585.6</v>
          </cell>
          <cell r="G162">
            <v>225052</v>
          </cell>
          <cell r="H162">
            <v>8533</v>
          </cell>
          <cell r="I162">
            <v>2676</v>
          </cell>
          <cell r="J162">
            <v>1.1499999999999999</v>
          </cell>
          <cell r="K162">
            <v>3.2</v>
          </cell>
          <cell r="L162" t="str">
            <v xml:space="preserve">      </v>
          </cell>
          <cell r="M162" t="str">
            <v xml:space="preserve">     </v>
          </cell>
          <cell r="N162">
            <v>0</v>
          </cell>
          <cell r="O162">
            <v>96.3</v>
          </cell>
          <cell r="P162">
            <v>41</v>
          </cell>
          <cell r="Q162">
            <v>207792</v>
          </cell>
          <cell r="R162">
            <v>8130</v>
          </cell>
          <cell r="S162">
            <v>3.48</v>
          </cell>
        </row>
        <row r="163">
          <cell r="A163" t="str">
            <v xml:space="preserve">390.00 05870000     </v>
          </cell>
          <cell r="B163">
            <v>42339</v>
          </cell>
          <cell r="C163">
            <v>60</v>
          </cell>
          <cell r="D163" t="str">
            <v xml:space="preserve">L0   </v>
          </cell>
          <cell r="E163">
            <v>0</v>
          </cell>
          <cell r="F163">
            <v>7626.95</v>
          </cell>
          <cell r="G163">
            <v>4092</v>
          </cell>
          <cell r="H163">
            <v>3535</v>
          </cell>
          <cell r="I163">
            <v>443</v>
          </cell>
          <cell r="J163">
            <v>5.81</v>
          </cell>
          <cell r="K163">
            <v>8</v>
          </cell>
          <cell r="L163" t="str">
            <v xml:space="preserve">      </v>
          </cell>
          <cell r="M163" t="str">
            <v xml:space="preserve">     </v>
          </cell>
          <cell r="N163">
            <v>0</v>
          </cell>
          <cell r="O163">
            <v>53.7</v>
          </cell>
          <cell r="P163">
            <v>11.4</v>
          </cell>
          <cell r="Q163">
            <v>3778</v>
          </cell>
          <cell r="R163">
            <v>483</v>
          </cell>
          <cell r="S163">
            <v>6.33</v>
          </cell>
        </row>
        <row r="164">
          <cell r="A164" t="str">
            <v xml:space="preserve">390.00 06960000     </v>
          </cell>
          <cell r="B164">
            <v>46357</v>
          </cell>
          <cell r="C164">
            <v>60</v>
          </cell>
          <cell r="D164" t="str">
            <v xml:space="preserve">L0   </v>
          </cell>
          <cell r="E164">
            <v>0</v>
          </cell>
          <cell r="F164">
            <v>397177.34</v>
          </cell>
          <cell r="G164">
            <v>210330</v>
          </cell>
          <cell r="H164">
            <v>186848</v>
          </cell>
          <cell r="I164">
            <v>10946</v>
          </cell>
          <cell r="J164">
            <v>2.76</v>
          </cell>
          <cell r="K164">
            <v>17.100000000000001</v>
          </cell>
          <cell r="L164" t="str">
            <v xml:space="preserve">      </v>
          </cell>
          <cell r="M164" t="str">
            <v xml:space="preserve">     </v>
          </cell>
          <cell r="N164">
            <v>0</v>
          </cell>
          <cell r="O164">
            <v>53</v>
          </cell>
          <cell r="P164">
            <v>24.8</v>
          </cell>
          <cell r="Q164">
            <v>194199</v>
          </cell>
          <cell r="R164">
            <v>11917</v>
          </cell>
          <cell r="S164">
            <v>3</v>
          </cell>
        </row>
        <row r="165">
          <cell r="A165" t="str">
            <v xml:space="preserve">390.00 06970000     </v>
          </cell>
          <cell r="B165">
            <v>50740</v>
          </cell>
          <cell r="C165">
            <v>60</v>
          </cell>
          <cell r="D165" t="str">
            <v xml:space="preserve">L0   </v>
          </cell>
          <cell r="E165">
            <v>0</v>
          </cell>
          <cell r="F165">
            <v>150000</v>
          </cell>
          <cell r="G165">
            <v>58875</v>
          </cell>
          <cell r="H165">
            <v>91125</v>
          </cell>
          <cell r="I165">
            <v>3585</v>
          </cell>
          <cell r="J165">
            <v>2.39</v>
          </cell>
          <cell r="K165">
            <v>25.4</v>
          </cell>
          <cell r="L165" t="str">
            <v xml:space="preserve">      </v>
          </cell>
          <cell r="M165" t="str">
            <v xml:space="preserve">     </v>
          </cell>
          <cell r="N165">
            <v>0</v>
          </cell>
          <cell r="O165">
            <v>39.299999999999997</v>
          </cell>
          <cell r="P165">
            <v>19.3</v>
          </cell>
          <cell r="Q165">
            <v>54360</v>
          </cell>
          <cell r="R165">
            <v>3765</v>
          </cell>
          <cell r="S165">
            <v>2.5099999999999998</v>
          </cell>
        </row>
        <row r="166">
          <cell r="A166" t="str">
            <v xml:space="preserve">390.00 07000000     </v>
          </cell>
          <cell r="B166">
            <v>55854</v>
          </cell>
          <cell r="C166">
            <v>60</v>
          </cell>
          <cell r="D166" t="str">
            <v xml:space="preserve">L0   </v>
          </cell>
          <cell r="E166">
            <v>0</v>
          </cell>
          <cell r="F166">
            <v>1151107.71</v>
          </cell>
          <cell r="G166">
            <v>144308</v>
          </cell>
          <cell r="H166">
            <v>1006799</v>
          </cell>
          <cell r="I166">
            <v>28400</v>
          </cell>
          <cell r="J166">
            <v>2.4700000000000002</v>
          </cell>
          <cell r="K166">
            <v>35.5</v>
          </cell>
          <cell r="L166" t="str">
            <v xml:space="preserve">      </v>
          </cell>
          <cell r="M166" t="str">
            <v xml:space="preserve">     </v>
          </cell>
          <cell r="N166">
            <v>0</v>
          </cell>
          <cell r="O166">
            <v>12.5</v>
          </cell>
          <cell r="P166">
            <v>5.7</v>
          </cell>
          <cell r="Q166">
            <v>133241</v>
          </cell>
          <cell r="R166">
            <v>28700</v>
          </cell>
          <cell r="S166">
            <v>2.4900000000000002</v>
          </cell>
        </row>
        <row r="167">
          <cell r="A167" t="str">
            <v xml:space="preserve">390.00 07010000     </v>
          </cell>
          <cell r="B167">
            <v>55854</v>
          </cell>
          <cell r="C167">
            <v>60</v>
          </cell>
          <cell r="D167" t="str">
            <v xml:space="preserve">L0   </v>
          </cell>
          <cell r="E167">
            <v>0</v>
          </cell>
          <cell r="F167">
            <v>1769619.71</v>
          </cell>
          <cell r="G167">
            <v>223967</v>
          </cell>
          <cell r="H167">
            <v>1545652</v>
          </cell>
          <cell r="I167">
            <v>43619</v>
          </cell>
          <cell r="J167">
            <v>2.46</v>
          </cell>
          <cell r="K167">
            <v>35.4</v>
          </cell>
          <cell r="L167" t="str">
            <v xml:space="preserve">      </v>
          </cell>
          <cell r="M167" t="str">
            <v xml:space="preserve">     </v>
          </cell>
          <cell r="N167">
            <v>0</v>
          </cell>
          <cell r="O167">
            <v>12.7</v>
          </cell>
          <cell r="P167">
            <v>5.7</v>
          </cell>
          <cell r="Q167">
            <v>206790</v>
          </cell>
          <cell r="R167">
            <v>44079</v>
          </cell>
          <cell r="S167">
            <v>2.4900000000000002</v>
          </cell>
        </row>
        <row r="168">
          <cell r="A168" t="str">
            <v xml:space="preserve">390.00 07020000     </v>
          </cell>
          <cell r="B168">
            <v>56219</v>
          </cell>
          <cell r="C168">
            <v>60</v>
          </cell>
          <cell r="D168" t="str">
            <v xml:space="preserve">L0   </v>
          </cell>
          <cell r="E168">
            <v>0</v>
          </cell>
          <cell r="F168">
            <v>47616.79</v>
          </cell>
          <cell r="G168">
            <v>5074</v>
          </cell>
          <cell r="H168">
            <v>42543</v>
          </cell>
          <cell r="I168">
            <v>1176</v>
          </cell>
          <cell r="J168">
            <v>2.4700000000000002</v>
          </cell>
          <cell r="K168">
            <v>36.200000000000003</v>
          </cell>
          <cell r="L168" t="str">
            <v xml:space="preserve">      </v>
          </cell>
          <cell r="M168" t="str">
            <v xml:space="preserve">     </v>
          </cell>
          <cell r="N168">
            <v>0</v>
          </cell>
          <cell r="O168">
            <v>10.7</v>
          </cell>
          <cell r="P168">
            <v>4.8</v>
          </cell>
          <cell r="Q168">
            <v>4685</v>
          </cell>
          <cell r="R168">
            <v>1186</v>
          </cell>
          <cell r="S168">
            <v>2.4900000000000002</v>
          </cell>
        </row>
        <row r="169">
          <cell r="A169" t="str">
            <v xml:space="preserve">390.00 07030000     </v>
          </cell>
          <cell r="B169">
            <v>56219</v>
          </cell>
          <cell r="C169">
            <v>60</v>
          </cell>
          <cell r="D169" t="str">
            <v xml:space="preserve">L0   </v>
          </cell>
          <cell r="E169">
            <v>0</v>
          </cell>
          <cell r="F169">
            <v>54669.93</v>
          </cell>
          <cell r="G169">
            <v>5827</v>
          </cell>
          <cell r="H169">
            <v>48843</v>
          </cell>
          <cell r="I169">
            <v>1350</v>
          </cell>
          <cell r="J169">
            <v>2.4700000000000002</v>
          </cell>
          <cell r="K169">
            <v>36.200000000000003</v>
          </cell>
          <cell r="L169" t="str">
            <v xml:space="preserve">      </v>
          </cell>
          <cell r="M169" t="str">
            <v xml:space="preserve">     </v>
          </cell>
          <cell r="N169">
            <v>0</v>
          </cell>
          <cell r="O169">
            <v>10.7</v>
          </cell>
          <cell r="P169">
            <v>4.8</v>
          </cell>
          <cell r="Q169">
            <v>5380</v>
          </cell>
          <cell r="R169">
            <v>1361</v>
          </cell>
          <cell r="S169">
            <v>2.4900000000000002</v>
          </cell>
        </row>
        <row r="170">
          <cell r="A170" t="str">
            <v xml:space="preserve">390.00 07040000     </v>
          </cell>
          <cell r="B170">
            <v>55854</v>
          </cell>
          <cell r="C170">
            <v>60</v>
          </cell>
          <cell r="D170" t="str">
            <v xml:space="preserve">L0   </v>
          </cell>
          <cell r="E170">
            <v>0</v>
          </cell>
          <cell r="F170">
            <v>887321.48</v>
          </cell>
          <cell r="G170">
            <v>110047</v>
          </cell>
          <cell r="H170">
            <v>777274</v>
          </cell>
          <cell r="I170">
            <v>21916</v>
          </cell>
          <cell r="J170">
            <v>2.4700000000000002</v>
          </cell>
          <cell r="K170">
            <v>35.5</v>
          </cell>
          <cell r="L170" t="str">
            <v xml:space="preserve">      </v>
          </cell>
          <cell r="M170" t="str">
            <v xml:space="preserve">     </v>
          </cell>
          <cell r="N170">
            <v>0</v>
          </cell>
          <cell r="O170">
            <v>12.4</v>
          </cell>
          <cell r="P170">
            <v>5.6</v>
          </cell>
          <cell r="Q170">
            <v>101607</v>
          </cell>
          <cell r="R170">
            <v>22143</v>
          </cell>
          <cell r="S170">
            <v>2.5</v>
          </cell>
        </row>
        <row r="171">
          <cell r="A171" t="str">
            <v xml:space="preserve">390.00 07050000     </v>
          </cell>
          <cell r="B171">
            <v>46722</v>
          </cell>
          <cell r="C171">
            <v>60</v>
          </cell>
          <cell r="D171" t="str">
            <v xml:space="preserve">L0   </v>
          </cell>
          <cell r="E171">
            <v>0</v>
          </cell>
          <cell r="F171">
            <v>111107.68</v>
          </cell>
          <cell r="G171">
            <v>26366</v>
          </cell>
          <cell r="H171">
            <v>84742</v>
          </cell>
          <cell r="I171">
            <v>4591</v>
          </cell>
          <cell r="J171">
            <v>4.13</v>
          </cell>
          <cell r="K171">
            <v>18.5</v>
          </cell>
          <cell r="L171" t="str">
            <v xml:space="preserve">      </v>
          </cell>
          <cell r="M171" t="str">
            <v xml:space="preserve">     </v>
          </cell>
          <cell r="N171">
            <v>0</v>
          </cell>
          <cell r="O171">
            <v>23.7</v>
          </cell>
          <cell r="P171">
            <v>5.8</v>
          </cell>
          <cell r="Q171">
            <v>24344</v>
          </cell>
          <cell r="R171">
            <v>4700</v>
          </cell>
          <cell r="S171">
            <v>4.2300000000000004</v>
          </cell>
        </row>
        <row r="172">
          <cell r="A172" t="str">
            <v xml:space="preserve">390.00 09990000     </v>
          </cell>
          <cell r="B172">
            <v>48183</v>
          </cell>
          <cell r="C172">
            <v>60</v>
          </cell>
          <cell r="D172" t="str">
            <v xml:space="preserve">L0   </v>
          </cell>
          <cell r="E172">
            <v>0</v>
          </cell>
          <cell r="F172">
            <v>61566.69</v>
          </cell>
          <cell r="G172">
            <v>12382</v>
          </cell>
          <cell r="H172">
            <v>49185</v>
          </cell>
          <cell r="I172">
            <v>2274</v>
          </cell>
          <cell r="J172">
            <v>3.69</v>
          </cell>
          <cell r="K172">
            <v>21.6</v>
          </cell>
          <cell r="L172" t="str">
            <v xml:space="preserve">      </v>
          </cell>
          <cell r="M172" t="str">
            <v xml:space="preserve">     </v>
          </cell>
          <cell r="N172">
            <v>0</v>
          </cell>
          <cell r="O172">
            <v>20.100000000000001</v>
          </cell>
          <cell r="P172">
            <v>5.3</v>
          </cell>
          <cell r="Q172">
            <v>11432</v>
          </cell>
          <cell r="R172">
            <v>2316</v>
          </cell>
          <cell r="S172">
            <v>3.76</v>
          </cell>
        </row>
        <row r="173">
          <cell r="A173" t="str">
            <v xml:space="preserve">390.00 99990000     </v>
          </cell>
          <cell r="B173">
            <v>56949</v>
          </cell>
          <cell r="C173">
            <v>60</v>
          </cell>
          <cell r="D173" t="str">
            <v xml:space="preserve">L0   </v>
          </cell>
          <cell r="E173">
            <v>0</v>
          </cell>
          <cell r="F173">
            <v>64727.57</v>
          </cell>
          <cell r="G173">
            <v>2188</v>
          </cell>
          <cell r="H173">
            <v>62540</v>
          </cell>
          <cell r="I173">
            <v>1638</v>
          </cell>
          <cell r="J173">
            <v>2.5299999999999998</v>
          </cell>
          <cell r="K173">
            <v>38.200000000000003</v>
          </cell>
          <cell r="L173" t="str">
            <v xml:space="preserve">      </v>
          </cell>
          <cell r="M173" t="str">
            <v xml:space="preserve">     </v>
          </cell>
          <cell r="N173">
            <v>0</v>
          </cell>
          <cell r="O173">
            <v>3.4</v>
          </cell>
          <cell r="P173">
            <v>1.4</v>
          </cell>
          <cell r="Q173">
            <v>2020</v>
          </cell>
          <cell r="R173">
            <v>1644</v>
          </cell>
          <cell r="S173">
            <v>2.54</v>
          </cell>
        </row>
        <row r="174">
          <cell r="A174">
            <v>391.1</v>
          </cell>
          <cell r="B174" t="str">
            <v xml:space="preserve">       </v>
          </cell>
          <cell r="C174">
            <v>30</v>
          </cell>
          <cell r="D174" t="str">
            <v xml:space="preserve">L1   </v>
          </cell>
          <cell r="E174">
            <v>0</v>
          </cell>
          <cell r="F174">
            <v>1159885.68</v>
          </cell>
          <cell r="G174">
            <v>559566</v>
          </cell>
          <cell r="H174">
            <v>600318</v>
          </cell>
          <cell r="I174">
            <v>28925</v>
          </cell>
          <cell r="J174">
            <v>2.4900000000000002</v>
          </cell>
          <cell r="K174">
            <v>20.8</v>
          </cell>
          <cell r="L174" t="str">
            <v xml:space="preserve">      </v>
          </cell>
          <cell r="M174" t="str">
            <v xml:space="preserve">     </v>
          </cell>
          <cell r="N174">
            <v>0</v>
          </cell>
          <cell r="O174">
            <v>48.2</v>
          </cell>
          <cell r="P174">
            <v>15.5</v>
          </cell>
          <cell r="Q174">
            <v>389310</v>
          </cell>
          <cell r="R174">
            <v>38624</v>
          </cell>
          <cell r="S174">
            <v>3.33</v>
          </cell>
        </row>
        <row r="175">
          <cell r="A175">
            <v>391.2</v>
          </cell>
          <cell r="B175" t="str">
            <v xml:space="preserve">       </v>
          </cell>
          <cell r="C175">
            <v>15</v>
          </cell>
          <cell r="D175" t="str">
            <v xml:space="preserve">L1   </v>
          </cell>
          <cell r="E175">
            <v>0</v>
          </cell>
          <cell r="F175">
            <v>918906.01</v>
          </cell>
          <cell r="G175">
            <v>627555</v>
          </cell>
          <cell r="H175">
            <v>291351</v>
          </cell>
          <cell r="I175">
            <v>28481</v>
          </cell>
          <cell r="J175">
            <v>3.1</v>
          </cell>
          <cell r="K175">
            <v>10.199999999999999</v>
          </cell>
          <cell r="L175" t="str">
            <v xml:space="preserve">      </v>
          </cell>
          <cell r="M175" t="str">
            <v xml:space="preserve">     </v>
          </cell>
          <cell r="N175">
            <v>0</v>
          </cell>
          <cell r="O175">
            <v>68.3</v>
          </cell>
          <cell r="P175">
            <v>12.7</v>
          </cell>
          <cell r="Q175">
            <v>407152</v>
          </cell>
          <cell r="R175">
            <v>60740</v>
          </cell>
          <cell r="S175">
            <v>6.61</v>
          </cell>
        </row>
        <row r="176">
          <cell r="A176">
            <v>391.3</v>
          </cell>
          <cell r="B176" t="str">
            <v xml:space="preserve">       </v>
          </cell>
          <cell r="C176">
            <v>7</v>
          </cell>
          <cell r="D176" t="str">
            <v xml:space="preserve">R3   </v>
          </cell>
          <cell r="E176">
            <v>0</v>
          </cell>
          <cell r="F176">
            <v>5544604.0199999996</v>
          </cell>
          <cell r="G176">
            <v>3020001</v>
          </cell>
          <cell r="H176">
            <v>2524603</v>
          </cell>
          <cell r="I176">
            <v>736145</v>
          </cell>
          <cell r="J176">
            <v>13.28</v>
          </cell>
          <cell r="K176">
            <v>3.4</v>
          </cell>
          <cell r="L176" t="str">
            <v xml:space="preserve">      </v>
          </cell>
          <cell r="M176" t="str">
            <v xml:space="preserve">     </v>
          </cell>
          <cell r="N176">
            <v>0</v>
          </cell>
          <cell r="O176">
            <v>54.5</v>
          </cell>
          <cell r="P176">
            <v>4.9000000000000004</v>
          </cell>
          <cell r="Q176">
            <v>3008114</v>
          </cell>
          <cell r="R176">
            <v>745671</v>
          </cell>
          <cell r="S176">
            <v>13.45</v>
          </cell>
        </row>
        <row r="177">
          <cell r="A177">
            <v>391.41</v>
          </cell>
          <cell r="B177" t="str">
            <v xml:space="preserve">       </v>
          </cell>
          <cell r="C177">
            <v>4</v>
          </cell>
          <cell r="D177" t="str">
            <v xml:space="preserve">L2   </v>
          </cell>
          <cell r="E177">
            <v>0</v>
          </cell>
          <cell r="F177">
            <v>1200632.97</v>
          </cell>
          <cell r="G177">
            <v>417820</v>
          </cell>
          <cell r="H177">
            <v>782814</v>
          </cell>
          <cell r="I177">
            <v>389666</v>
          </cell>
          <cell r="J177">
            <v>32.46</v>
          </cell>
          <cell r="K177">
            <v>2</v>
          </cell>
          <cell r="L177" t="str">
            <v xml:space="preserve">      </v>
          </cell>
          <cell r="M177" t="str">
            <v xml:space="preserve">     </v>
          </cell>
          <cell r="N177">
            <v>0</v>
          </cell>
          <cell r="O177">
            <v>34.799999999999997</v>
          </cell>
          <cell r="P177">
            <v>2.8</v>
          </cell>
          <cell r="Q177">
            <v>564984</v>
          </cell>
          <cell r="R177">
            <v>300158</v>
          </cell>
          <cell r="S177">
            <v>25</v>
          </cell>
        </row>
        <row r="178">
          <cell r="A178">
            <v>391.42</v>
          </cell>
          <cell r="B178" t="str">
            <v xml:space="preserve">       </v>
          </cell>
          <cell r="C178">
            <v>10</v>
          </cell>
          <cell r="D178" t="str">
            <v xml:space="preserve">SQ   </v>
          </cell>
          <cell r="E178">
            <v>0</v>
          </cell>
          <cell r="F178">
            <v>3295776.38</v>
          </cell>
          <cell r="G178">
            <v>247183</v>
          </cell>
          <cell r="H178">
            <v>3048593</v>
          </cell>
          <cell r="I178">
            <v>320905</v>
          </cell>
          <cell r="J178">
            <v>9.74</v>
          </cell>
          <cell r="K178">
            <v>9.5</v>
          </cell>
          <cell r="L178" t="str">
            <v xml:space="preserve">      </v>
          </cell>
          <cell r="M178" t="str">
            <v xml:space="preserve">     </v>
          </cell>
          <cell r="N178">
            <v>0</v>
          </cell>
          <cell r="O178">
            <v>7.5</v>
          </cell>
          <cell r="P178">
            <v>0.5</v>
          </cell>
          <cell r="Q178">
            <v>164789</v>
          </cell>
          <cell r="R178">
            <v>329578</v>
          </cell>
          <cell r="S178">
            <v>10</v>
          </cell>
        </row>
        <row r="179">
          <cell r="A179">
            <v>392</v>
          </cell>
          <cell r="B179" t="str">
            <v xml:space="preserve">       </v>
          </cell>
          <cell r="C179">
            <v>8</v>
          </cell>
          <cell r="D179" t="str">
            <v xml:space="preserve">R2.5 </v>
          </cell>
          <cell r="E179">
            <v>0</v>
          </cell>
          <cell r="F179">
            <v>8598621.0600000005</v>
          </cell>
          <cell r="G179">
            <v>6175895</v>
          </cell>
          <cell r="H179">
            <v>2422726</v>
          </cell>
          <cell r="I179">
            <v>601997</v>
          </cell>
          <cell r="J179">
            <v>7</v>
          </cell>
          <cell r="K179">
            <v>4</v>
          </cell>
          <cell r="L179" t="str">
            <v xml:space="preserve">      </v>
          </cell>
          <cell r="M179" t="str">
            <v xml:space="preserve">     </v>
          </cell>
          <cell r="N179">
            <v>0</v>
          </cell>
          <cell r="O179">
            <v>71.8</v>
          </cell>
          <cell r="P179">
            <v>7.3</v>
          </cell>
          <cell r="Q179">
            <v>5502616</v>
          </cell>
          <cell r="R179">
            <v>1047391</v>
          </cell>
          <cell r="S179">
            <v>12.18</v>
          </cell>
        </row>
        <row r="180">
          <cell r="A180">
            <v>393</v>
          </cell>
          <cell r="B180" t="str">
            <v xml:space="preserve">       </v>
          </cell>
          <cell r="C180">
            <v>20</v>
          </cell>
          <cell r="D180" t="str">
            <v xml:space="preserve">L2   </v>
          </cell>
          <cell r="E180">
            <v>0</v>
          </cell>
          <cell r="F180">
            <v>9473.5400000000009</v>
          </cell>
          <cell r="G180">
            <v>5838</v>
          </cell>
          <cell r="H180">
            <v>3635</v>
          </cell>
          <cell r="I180">
            <v>335</v>
          </cell>
          <cell r="J180">
            <v>3.54</v>
          </cell>
          <cell r="K180">
            <v>10.9</v>
          </cell>
          <cell r="L180" t="str">
            <v xml:space="preserve">      </v>
          </cell>
          <cell r="M180" t="str">
            <v xml:space="preserve">     </v>
          </cell>
          <cell r="N180">
            <v>0</v>
          </cell>
          <cell r="O180">
            <v>61.6</v>
          </cell>
          <cell r="P180">
            <v>20.7</v>
          </cell>
          <cell r="Q180">
            <v>5317</v>
          </cell>
          <cell r="R180">
            <v>474</v>
          </cell>
          <cell r="S180">
            <v>5</v>
          </cell>
        </row>
        <row r="181">
          <cell r="A181">
            <v>394</v>
          </cell>
          <cell r="B181" t="str">
            <v xml:space="preserve">       </v>
          </cell>
          <cell r="C181">
            <v>22</v>
          </cell>
          <cell r="D181" t="str">
            <v xml:space="preserve">L0.5 </v>
          </cell>
          <cell r="E181">
            <v>0</v>
          </cell>
          <cell r="F181">
            <v>4456246.99</v>
          </cell>
          <cell r="G181">
            <v>1544854</v>
          </cell>
          <cell r="H181">
            <v>2911394</v>
          </cell>
          <cell r="I181">
            <v>176285</v>
          </cell>
          <cell r="J181">
            <v>3.96</v>
          </cell>
          <cell r="K181">
            <v>16.5</v>
          </cell>
          <cell r="L181" t="str">
            <v xml:space="preserve">      </v>
          </cell>
          <cell r="M181" t="str">
            <v xml:space="preserve">     </v>
          </cell>
          <cell r="N181">
            <v>0</v>
          </cell>
          <cell r="O181">
            <v>34.700000000000003</v>
          </cell>
          <cell r="P181">
            <v>10.5</v>
          </cell>
          <cell r="Q181">
            <v>1190169</v>
          </cell>
          <cell r="R181">
            <v>202390</v>
          </cell>
          <cell r="S181">
            <v>4.54</v>
          </cell>
        </row>
        <row r="182">
          <cell r="A182">
            <v>395</v>
          </cell>
          <cell r="B182" t="str">
            <v xml:space="preserve">       </v>
          </cell>
          <cell r="C182">
            <v>30</v>
          </cell>
          <cell r="D182" t="str">
            <v xml:space="preserve">R3   </v>
          </cell>
          <cell r="E182">
            <v>0</v>
          </cell>
          <cell r="F182">
            <v>14315.48</v>
          </cell>
          <cell r="G182">
            <v>14316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</v>
          </cell>
          <cell r="M182" t="str">
            <v xml:space="preserve">     </v>
          </cell>
          <cell r="N182">
            <v>0</v>
          </cell>
          <cell r="O182">
            <v>100</v>
          </cell>
          <cell r="P182">
            <v>47.1</v>
          </cell>
          <cell r="Q182">
            <v>13745</v>
          </cell>
          <cell r="R182">
            <v>363</v>
          </cell>
          <cell r="S182">
            <v>2.54</v>
          </cell>
        </row>
        <row r="183">
          <cell r="A183">
            <v>396</v>
          </cell>
          <cell r="B183" t="str">
            <v xml:space="preserve">       </v>
          </cell>
          <cell r="C183">
            <v>13</v>
          </cell>
          <cell r="D183" t="str">
            <v xml:space="preserve">L3   </v>
          </cell>
          <cell r="E183">
            <v>0</v>
          </cell>
          <cell r="F183">
            <v>1679499.82</v>
          </cell>
          <cell r="G183">
            <v>1041322</v>
          </cell>
          <cell r="H183">
            <v>638180</v>
          </cell>
          <cell r="I183">
            <v>99640</v>
          </cell>
          <cell r="J183">
            <v>5.93</v>
          </cell>
          <cell r="K183">
            <v>6.4</v>
          </cell>
          <cell r="L183" t="str">
            <v xml:space="preserve">      </v>
          </cell>
          <cell r="M183" t="str">
            <v xml:space="preserve">     </v>
          </cell>
          <cell r="N183">
            <v>0</v>
          </cell>
          <cell r="O183">
            <v>62</v>
          </cell>
          <cell r="P183">
            <v>10.5</v>
          </cell>
          <cell r="Q183">
            <v>947947</v>
          </cell>
          <cell r="R183">
            <v>126575</v>
          </cell>
          <cell r="S183">
            <v>7.54</v>
          </cell>
        </row>
        <row r="184">
          <cell r="A184">
            <v>397</v>
          </cell>
          <cell r="B184" t="str">
            <v xml:space="preserve">       </v>
          </cell>
          <cell r="C184">
            <v>8</v>
          </cell>
          <cell r="D184" t="str">
            <v xml:space="preserve">L3   </v>
          </cell>
          <cell r="E184">
            <v>0</v>
          </cell>
          <cell r="F184">
            <v>352523.06</v>
          </cell>
          <cell r="G184">
            <v>310890</v>
          </cell>
          <cell r="H184">
            <v>41634</v>
          </cell>
          <cell r="I184">
            <v>16004</v>
          </cell>
          <cell r="J184">
            <v>4.54</v>
          </cell>
          <cell r="K184">
            <v>2.6</v>
          </cell>
          <cell r="L184" t="str">
            <v xml:space="preserve">      </v>
          </cell>
          <cell r="M184" t="str">
            <v xml:space="preserve">     </v>
          </cell>
          <cell r="N184">
            <v>0</v>
          </cell>
          <cell r="O184">
            <v>88.2</v>
          </cell>
          <cell r="P184">
            <v>10</v>
          </cell>
          <cell r="Q184">
            <v>253736</v>
          </cell>
          <cell r="R184">
            <v>40910</v>
          </cell>
          <cell r="S184">
            <v>11.6</v>
          </cell>
        </row>
        <row r="185">
          <cell r="A185">
            <v>397.1</v>
          </cell>
          <cell r="B185" t="str">
            <v xml:space="preserve">       </v>
          </cell>
          <cell r="C185">
            <v>8</v>
          </cell>
          <cell r="D185" t="str">
            <v xml:space="preserve">L3   </v>
          </cell>
          <cell r="E185">
            <v>0</v>
          </cell>
          <cell r="F185">
            <v>770895.75</v>
          </cell>
          <cell r="G185">
            <v>325223</v>
          </cell>
          <cell r="H185">
            <v>445672</v>
          </cell>
          <cell r="I185">
            <v>81735</v>
          </cell>
          <cell r="J185">
            <v>10.6</v>
          </cell>
          <cell r="K185">
            <v>5.5</v>
          </cell>
          <cell r="L185" t="str">
            <v xml:space="preserve">      </v>
          </cell>
          <cell r="M185" t="str">
            <v xml:space="preserve">     </v>
          </cell>
          <cell r="N185">
            <v>0</v>
          </cell>
          <cell r="O185">
            <v>42.2</v>
          </cell>
          <cell r="P185">
            <v>3.1</v>
          </cell>
          <cell r="Q185">
            <v>265689</v>
          </cell>
          <cell r="R185">
            <v>96182</v>
          </cell>
          <cell r="S185">
            <v>12.48</v>
          </cell>
        </row>
        <row r="186">
          <cell r="A186">
            <v>398</v>
          </cell>
          <cell r="B186" t="str">
            <v xml:space="preserve">       </v>
          </cell>
          <cell r="C186">
            <v>35</v>
          </cell>
          <cell r="D186" t="str">
            <v xml:space="preserve">R2   </v>
          </cell>
          <cell r="E186">
            <v>0</v>
          </cell>
          <cell r="F186">
            <v>197092.25</v>
          </cell>
          <cell r="G186">
            <v>73564</v>
          </cell>
          <cell r="H186">
            <v>123529</v>
          </cell>
          <cell r="I186">
            <v>4680</v>
          </cell>
          <cell r="J186">
            <v>2.37</v>
          </cell>
          <cell r="K186">
            <v>26.4</v>
          </cell>
          <cell r="L186" t="str">
            <v xml:space="preserve">      </v>
          </cell>
          <cell r="M186" t="str">
            <v xml:space="preserve">     </v>
          </cell>
          <cell r="N186">
            <v>0</v>
          </cell>
          <cell r="O186">
            <v>37.299999999999997</v>
          </cell>
          <cell r="P186">
            <v>12.1</v>
          </cell>
          <cell r="Q186">
            <v>55618</v>
          </cell>
          <cell r="R186">
            <v>5637</v>
          </cell>
          <cell r="S186">
            <v>2.86</v>
          </cell>
        </row>
        <row r="187">
          <cell r="A187" t="str">
            <v>_x001A_</v>
          </cell>
        </row>
      </sheetData>
      <sheetData sheetId="6" refreshError="1">
        <row r="1">
          <cell r="A1">
            <v>305</v>
          </cell>
          <cell r="C1" t="str">
            <v>Manufactured Gas Plant Remediation</v>
          </cell>
          <cell r="L1">
            <v>2007</v>
          </cell>
        </row>
        <row r="2">
          <cell r="A2">
            <v>375</v>
          </cell>
          <cell r="B2" t="str">
            <v>STRUCTURES &amp; IMPROVEMENTS</v>
          </cell>
          <cell r="C2" t="str">
            <v>Structures and Improvements</v>
          </cell>
        </row>
        <row r="3">
          <cell r="A3">
            <v>376</v>
          </cell>
          <cell r="C3" t="str">
            <v>Mains</v>
          </cell>
        </row>
        <row r="4">
          <cell r="A4">
            <v>376.1</v>
          </cell>
          <cell r="B4" t="str">
            <v xml:space="preserve">MAINS - PLASTIC </v>
          </cell>
          <cell r="C4" t="str">
            <v>Mains - Plastic</v>
          </cell>
        </row>
        <row r="5">
          <cell r="A5">
            <v>376.2</v>
          </cell>
          <cell r="B5" t="str">
            <v>MAINS - OTHER</v>
          </cell>
          <cell r="C5" t="str">
            <v>Mains - Other</v>
          </cell>
        </row>
        <row r="6">
          <cell r="A6">
            <v>378</v>
          </cell>
          <cell r="B6" t="str">
            <v>MEASURING &amp; REGULATING EQUIPMENT - GENERAL</v>
          </cell>
          <cell r="C6" t="str">
            <v>Measuring &amp; Regulating Equipment - General</v>
          </cell>
        </row>
        <row r="7">
          <cell r="A7">
            <v>379</v>
          </cell>
          <cell r="B7" t="str">
            <v>MEASURING &amp; REGULATING EQUIPMENT - CITY GATE</v>
          </cell>
          <cell r="C7" t="str">
            <v>Measuring &amp; Regulating Equipment - City Gate</v>
          </cell>
        </row>
        <row r="8">
          <cell r="A8">
            <v>380</v>
          </cell>
          <cell r="C8" t="str">
            <v>Services</v>
          </cell>
        </row>
        <row r="9">
          <cell r="A9">
            <v>380.1</v>
          </cell>
          <cell r="B9" t="str">
            <v>SERVICES - PLASTIC</v>
          </cell>
          <cell r="C9" t="str">
            <v>Services - Plastic</v>
          </cell>
        </row>
        <row r="10">
          <cell r="A10">
            <v>380.2</v>
          </cell>
          <cell r="B10" t="str">
            <v>SERVICES - OTHER</v>
          </cell>
          <cell r="C10" t="str">
            <v>Services - Other</v>
          </cell>
        </row>
        <row r="11">
          <cell r="A11">
            <v>381</v>
          </cell>
          <cell r="B11" t="str">
            <v>METERS</v>
          </cell>
          <cell r="C11" t="str">
            <v>Meters</v>
          </cell>
        </row>
        <row r="12">
          <cell r="A12">
            <v>381.1</v>
          </cell>
          <cell r="C12" t="str">
            <v>Meters - AMR</v>
          </cell>
        </row>
        <row r="13">
          <cell r="A13">
            <v>383</v>
          </cell>
          <cell r="B13" t="str">
            <v>HOUSE REGULATOR</v>
          </cell>
          <cell r="C13" t="str">
            <v>House Regulators</v>
          </cell>
        </row>
        <row r="14">
          <cell r="A14">
            <v>384</v>
          </cell>
          <cell r="B14" t="str">
            <v>HOUSE REGULATOR INSTALLATIONS</v>
          </cell>
          <cell r="C14" t="str">
            <v>House Regulator Installations</v>
          </cell>
        </row>
        <row r="15">
          <cell r="A15">
            <v>385</v>
          </cell>
          <cell r="B15" t="str">
            <v>INDUSTRIAL MEASURING &amp; REGULATING EQUIPMENT</v>
          </cell>
          <cell r="C15" t="str">
            <v>Industrial Measuring &amp; Regulating Equipment</v>
          </cell>
        </row>
        <row r="16">
          <cell r="A16">
            <v>387</v>
          </cell>
          <cell r="B16" t="str">
            <v>OTHER DISTRIBUTION EQUIPMENT</v>
          </cell>
          <cell r="C16" t="str">
            <v>Other Distribution Equipment</v>
          </cell>
        </row>
        <row r="17">
          <cell r="A17">
            <v>390</v>
          </cell>
          <cell r="B17" t="str">
            <v>STRUCTURES &amp; IMPROVEMENTS</v>
          </cell>
          <cell r="C17" t="str">
            <v>Structures and Improvements</v>
          </cell>
        </row>
        <row r="18">
          <cell r="A18">
            <v>391</v>
          </cell>
          <cell r="C18" t="str">
            <v>Office Furniture and Equipment</v>
          </cell>
        </row>
        <row r="19">
          <cell r="A19">
            <v>391.1</v>
          </cell>
          <cell r="B19" t="str">
            <v>OFFICE FURNITURE</v>
          </cell>
          <cell r="C19" t="str">
            <v>Office Furniture</v>
          </cell>
        </row>
        <row r="20">
          <cell r="A20">
            <v>391.2</v>
          </cell>
          <cell r="B20" t="str">
            <v>OFFICE EQUIPMENT</v>
          </cell>
          <cell r="C20" t="str">
            <v>Office Equipment</v>
          </cell>
        </row>
        <row r="21">
          <cell r="A21">
            <v>391.3</v>
          </cell>
          <cell r="B21" t="str">
            <v>COMPUTER EQUIPMENT</v>
          </cell>
          <cell r="C21" t="str">
            <v>Computer Equipment</v>
          </cell>
        </row>
        <row r="22">
          <cell r="A22">
            <v>391.41</v>
          </cell>
          <cell r="C22" t="str">
            <v>Computer Software - General</v>
          </cell>
        </row>
        <row r="23">
          <cell r="A23">
            <v>391.42</v>
          </cell>
          <cell r="C23" t="str">
            <v>Computer Software - Oracle</v>
          </cell>
        </row>
        <row r="24">
          <cell r="A24">
            <v>392</v>
          </cell>
          <cell r="B24" t="str">
            <v>TRANSPORTATION EQUIPMENT</v>
          </cell>
          <cell r="C24" t="str">
            <v>Transportation Equipment</v>
          </cell>
        </row>
        <row r="25">
          <cell r="A25">
            <v>393</v>
          </cell>
          <cell r="B25" t="str">
            <v>STORES EQUIPMENT</v>
          </cell>
          <cell r="C25" t="str">
            <v>Stores Equipment</v>
          </cell>
        </row>
        <row r="26">
          <cell r="A26">
            <v>394</v>
          </cell>
          <cell r="B26" t="str">
            <v>TOOLS, SHOP &amp; GARAGE EQUIPMENT</v>
          </cell>
          <cell r="C26" t="str">
            <v>Tools, Shop and Garage Equipment</v>
          </cell>
        </row>
        <row r="27">
          <cell r="A27">
            <v>395</v>
          </cell>
          <cell r="B27" t="str">
            <v>LABORATORY EQUIPMENT</v>
          </cell>
          <cell r="C27" t="str">
            <v>Laboratory Equipment</v>
          </cell>
        </row>
        <row r="28">
          <cell r="A28">
            <v>396</v>
          </cell>
          <cell r="B28" t="str">
            <v>POWER OPERATED EQUIPMENT</v>
          </cell>
          <cell r="C28" t="str">
            <v>Power Operated Equipment</v>
          </cell>
        </row>
        <row r="29">
          <cell r="A29">
            <v>397</v>
          </cell>
          <cell r="B29" t="str">
            <v>COMMUNICATION EQUIPMENT</v>
          </cell>
          <cell r="C29" t="str">
            <v>Communication Equipment</v>
          </cell>
        </row>
        <row r="30">
          <cell r="A30">
            <v>397.1</v>
          </cell>
          <cell r="B30" t="str">
            <v>Telephone Systems</v>
          </cell>
          <cell r="C30" t="str">
            <v>Telephone Systems</v>
          </cell>
        </row>
        <row r="31">
          <cell r="A31">
            <v>398</v>
          </cell>
          <cell r="B31" t="str">
            <v>MISCELLANEOUS EQUIPMENT</v>
          </cell>
          <cell r="C31" t="str">
            <v>Miscellaneous Equipment</v>
          </cell>
        </row>
        <row r="32">
          <cell r="A32">
            <v>301</v>
          </cell>
          <cell r="B32" t="str">
            <v>Organization</v>
          </cell>
          <cell r="C32" t="str">
            <v>Organization</v>
          </cell>
        </row>
        <row r="33">
          <cell r="A33">
            <v>302</v>
          </cell>
          <cell r="B33" t="str">
            <v>Franchise &amp; Consents</v>
          </cell>
          <cell r="C33" t="str">
            <v>Franchise &amp; Consents</v>
          </cell>
        </row>
        <row r="34">
          <cell r="A34">
            <v>374.1</v>
          </cell>
          <cell r="B34" t="str">
            <v>Land</v>
          </cell>
          <cell r="C34" t="str">
            <v>Land</v>
          </cell>
        </row>
        <row r="35">
          <cell r="A35">
            <v>374.2</v>
          </cell>
          <cell r="B35" t="str">
            <v>Land Rights</v>
          </cell>
          <cell r="C35" t="str">
            <v>Land Rights</v>
          </cell>
        </row>
        <row r="36">
          <cell r="A36">
            <v>389.1</v>
          </cell>
          <cell r="B36" t="str">
            <v>Land</v>
          </cell>
          <cell r="C36" t="str">
            <v>Land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9"/>
  <sheetViews>
    <sheetView workbookViewId="0">
      <selection activeCell="E7" sqref="E7"/>
    </sheetView>
  </sheetViews>
  <sheetFormatPr defaultRowHeight="15"/>
  <cols>
    <col min="1" max="1" width="24.21875" customWidth="1"/>
    <col min="2" max="3" width="14.5546875" bestFit="1" customWidth="1"/>
    <col min="4" max="4" width="12.88671875" bestFit="1" customWidth="1"/>
  </cols>
  <sheetData>
    <row r="3" spans="1:4">
      <c r="B3" s="212" t="s">
        <v>418</v>
      </c>
      <c r="C3" s="212" t="s">
        <v>419</v>
      </c>
      <c r="D3" s="212" t="s">
        <v>420</v>
      </c>
    </row>
    <row r="4" spans="1:4">
      <c r="A4" t="s">
        <v>415</v>
      </c>
      <c r="B4" s="100">
        <f>+Alloc!I152</f>
        <v>250831417.17643613</v>
      </c>
      <c r="C4" s="742">
        <v>0</v>
      </c>
      <c r="D4" s="21">
        <f>+C4-B4</f>
        <v>-250831417.17643613</v>
      </c>
    </row>
    <row r="5" spans="1:4">
      <c r="A5" t="s">
        <v>157</v>
      </c>
      <c r="B5" s="100">
        <f>+Alloc!I232</f>
        <v>102720566.7536</v>
      </c>
      <c r="C5" s="100">
        <v>102722000</v>
      </c>
      <c r="D5" s="21">
        <f>+C5-B5</f>
        <v>1433.2463999986649</v>
      </c>
    </row>
    <row r="6" spans="1:4">
      <c r="A6" t="s">
        <v>416</v>
      </c>
      <c r="B6" s="100">
        <f>+Alloc!I360</f>
        <v>2878116326.6324</v>
      </c>
      <c r="C6" s="100">
        <v>2878116000</v>
      </c>
      <c r="D6" s="21">
        <f>+C6-B6</f>
        <v>-326.63240003585815</v>
      </c>
    </row>
    <row r="7" spans="1:4">
      <c r="B7" s="100"/>
      <c r="C7" s="100"/>
      <c r="D7" s="21"/>
    </row>
    <row r="8" spans="1:4">
      <c r="A8" t="s">
        <v>417</v>
      </c>
      <c r="B8" s="100">
        <f>+Alloc!I372</f>
        <v>2363572326.6324</v>
      </c>
      <c r="C8" s="100">
        <v>2363572000</v>
      </c>
      <c r="D8" s="21">
        <f t="shared" ref="D8" si="0">+C8-B8</f>
        <v>-326.63240003585815</v>
      </c>
    </row>
    <row r="9" spans="1:4">
      <c r="B9" s="100"/>
      <c r="C9" s="10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M183"/>
  <sheetViews>
    <sheetView workbookViewId="0">
      <selection activeCell="P26" sqref="P26"/>
    </sheetView>
  </sheetViews>
  <sheetFormatPr defaultColWidth="9.6640625" defaultRowHeight="15"/>
  <cols>
    <col min="1" max="1" width="15.6640625" style="1" customWidth="1"/>
    <col min="2" max="2" width="2.6640625" style="1" customWidth="1"/>
    <col min="3" max="3" width="7.6640625" style="1" customWidth="1"/>
    <col min="4" max="4" width="2.6640625" style="1" customWidth="1"/>
    <col min="5" max="5" width="9.6640625" style="1" customWidth="1"/>
    <col min="6" max="6" width="2.6640625" style="1" customWidth="1"/>
    <col min="7" max="7" width="9.6640625" style="1" customWidth="1"/>
    <col min="8" max="8" width="2.6640625" style="1" customWidth="1"/>
    <col min="9" max="9" width="9.6640625" style="1" customWidth="1"/>
    <col min="10" max="10" width="2.6640625" style="1" customWidth="1"/>
    <col min="11" max="16384" width="9.6640625" style="1"/>
  </cols>
  <sheetData>
    <row r="1" spans="1:13">
      <c r="A1" s="1034" t="s">
        <v>802</v>
      </c>
      <c r="B1" s="1034"/>
      <c r="C1" s="1034"/>
      <c r="D1" s="1034"/>
      <c r="E1" s="1034"/>
      <c r="F1" s="1034"/>
      <c r="G1" s="1034"/>
      <c r="H1" s="1034"/>
      <c r="I1" s="1034"/>
      <c r="J1" s="1034"/>
    </row>
    <row r="3" spans="1:13">
      <c r="A3" s="1032" t="s">
        <v>170</v>
      </c>
      <c r="B3" s="1032"/>
      <c r="C3" s="1032"/>
      <c r="D3" s="1032"/>
      <c r="E3" s="1032"/>
      <c r="F3" s="1032"/>
      <c r="G3" s="1032"/>
      <c r="H3" s="1032"/>
      <c r="I3" s="1032"/>
      <c r="J3" s="1032"/>
    </row>
    <row r="4" spans="1:13">
      <c r="A4" s="98"/>
    </row>
    <row r="5" spans="1:13" ht="6.6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369" t="s">
        <v>829</v>
      </c>
      <c r="B6" s="22"/>
      <c r="C6" s="22"/>
      <c r="D6" s="22"/>
      <c r="E6" s="22"/>
      <c r="F6" s="22"/>
      <c r="G6" s="22"/>
      <c r="H6" s="19"/>
      <c r="I6" s="19"/>
      <c r="J6" s="19"/>
    </row>
    <row r="7" spans="1:13">
      <c r="A7" s="369" t="s">
        <v>830</v>
      </c>
      <c r="B7" s="22"/>
      <c r="C7" s="22"/>
      <c r="D7" s="22"/>
      <c r="E7" s="22"/>
      <c r="F7" s="22"/>
      <c r="G7" s="22"/>
    </row>
    <row r="8" spans="1:13">
      <c r="A8" s="22"/>
      <c r="B8" s="22"/>
      <c r="C8" s="22"/>
      <c r="D8" s="22"/>
      <c r="E8" s="22"/>
      <c r="F8" s="22"/>
      <c r="G8" s="22"/>
    </row>
    <row r="9" spans="1:13">
      <c r="A9" s="322" t="s">
        <v>451</v>
      </c>
      <c r="B9" s="322"/>
      <c r="C9" s="322"/>
      <c r="D9" s="322"/>
      <c r="E9" s="322"/>
      <c r="F9" s="322"/>
      <c r="G9" s="322"/>
      <c r="H9" s="322"/>
      <c r="I9" s="322"/>
    </row>
    <row r="10" spans="1:13">
      <c r="A10" s="322"/>
      <c r="B10" s="322"/>
      <c r="C10" s="322"/>
      <c r="D10" s="322"/>
      <c r="E10" s="322"/>
      <c r="F10" s="322"/>
      <c r="G10" s="322"/>
      <c r="H10" s="322"/>
      <c r="I10" s="322"/>
    </row>
    <row r="11" spans="1:13">
      <c r="A11" s="322"/>
      <c r="B11" s="322"/>
      <c r="C11" s="322"/>
      <c r="D11" s="322"/>
      <c r="E11" s="322"/>
      <c r="F11" s="322"/>
      <c r="G11" s="322"/>
      <c r="H11" s="322"/>
      <c r="I11" s="322"/>
    </row>
    <row r="12" spans="1:13">
      <c r="A12" s="321" t="s">
        <v>171</v>
      </c>
      <c r="B12" s="322"/>
      <c r="C12" s="908"/>
      <c r="D12" s="322"/>
      <c r="E12" s="329" t="s">
        <v>202</v>
      </c>
      <c r="F12" s="333"/>
      <c r="G12" s="322"/>
      <c r="H12" s="333"/>
      <c r="I12" s="350" t="s">
        <v>180</v>
      </c>
      <c r="M12" s="33"/>
    </row>
    <row r="13" spans="1:13">
      <c r="A13" s="321" t="s">
        <v>172</v>
      </c>
      <c r="B13" s="322"/>
      <c r="C13" s="322"/>
      <c r="D13" s="322"/>
      <c r="E13" s="908" t="s">
        <v>325</v>
      </c>
      <c r="F13" s="322"/>
      <c r="G13" s="322"/>
      <c r="H13" s="322"/>
      <c r="I13" s="908" t="s">
        <v>358</v>
      </c>
      <c r="M13" s="320"/>
    </row>
    <row r="14" spans="1:13">
      <c r="A14" s="326" t="s">
        <v>173</v>
      </c>
      <c r="B14" s="322"/>
      <c r="C14" s="908"/>
      <c r="D14" s="322"/>
      <c r="E14" s="327" t="s">
        <v>181</v>
      </c>
      <c r="F14" s="322"/>
      <c r="G14" s="322"/>
      <c r="H14" s="322"/>
      <c r="I14" s="910" t="s">
        <v>194</v>
      </c>
      <c r="M14" s="9"/>
    </row>
    <row r="15" spans="1:13">
      <c r="A15" s="322"/>
      <c r="B15" s="322"/>
      <c r="C15" s="322"/>
      <c r="D15" s="322"/>
      <c r="E15" s="322"/>
      <c r="F15" s="322"/>
      <c r="G15" s="322"/>
      <c r="H15" s="322"/>
      <c r="I15" s="322"/>
      <c r="M15" s="4"/>
    </row>
    <row r="16" spans="1:13">
      <c r="A16" s="330" t="s">
        <v>253</v>
      </c>
      <c r="B16" s="322"/>
      <c r="C16" s="322"/>
      <c r="D16" s="322"/>
      <c r="E16" s="322"/>
      <c r="F16" s="322"/>
      <c r="G16" s="322"/>
      <c r="H16" s="322"/>
      <c r="I16" s="322"/>
      <c r="M16" s="4"/>
    </row>
    <row r="17" spans="1:13">
      <c r="A17" s="322" t="s">
        <v>318</v>
      </c>
      <c r="B17" s="322"/>
      <c r="C17" s="322"/>
      <c r="D17" s="322"/>
      <c r="E17" s="348">
        <f>+'Ftr 3 &amp; 6'!N118</f>
        <v>592467</v>
      </c>
      <c r="F17" s="322"/>
      <c r="G17" s="322"/>
      <c r="H17" s="322"/>
      <c r="I17" s="911">
        <f>ROUND(+E17/$E$24,4)</f>
        <v>0.89349999999999996</v>
      </c>
      <c r="M17" s="311"/>
    </row>
    <row r="18" spans="1:13">
      <c r="A18" s="322" t="s">
        <v>314</v>
      </c>
      <c r="B18" s="322"/>
      <c r="C18" s="322"/>
      <c r="D18" s="322"/>
      <c r="E18" s="348">
        <f>+'Ftr 3 &amp; 6'!N119</f>
        <v>68143.897777777776</v>
      </c>
      <c r="F18" s="322"/>
      <c r="G18" s="322"/>
      <c r="H18" s="322"/>
      <c r="I18" s="911">
        <f t="shared" ref="I18:I22" si="0">ROUND(+E18/$E$24,4)</f>
        <v>0.1028</v>
      </c>
      <c r="M18" s="311"/>
    </row>
    <row r="19" spans="1:13">
      <c r="A19" s="322" t="s">
        <v>315</v>
      </c>
      <c r="B19" s="322"/>
      <c r="C19" s="322"/>
      <c r="D19" s="322"/>
      <c r="E19" s="348">
        <f>+'Ftr 3 &amp; 6'!N120</f>
        <v>1554</v>
      </c>
      <c r="F19" s="322"/>
      <c r="G19" s="322"/>
      <c r="H19" s="322"/>
      <c r="I19" s="911">
        <f t="shared" si="0"/>
        <v>2.3E-3</v>
      </c>
      <c r="M19" s="311"/>
    </row>
    <row r="20" spans="1:13">
      <c r="A20" s="322" t="s">
        <v>316</v>
      </c>
      <c r="B20" s="322"/>
      <c r="C20" s="322"/>
      <c r="D20" s="322"/>
      <c r="E20" s="348">
        <f>+'Ftr 3 &amp; 6'!N121</f>
        <v>470</v>
      </c>
      <c r="F20" s="322"/>
      <c r="G20" s="322"/>
      <c r="H20" s="322"/>
      <c r="I20" s="911">
        <f t="shared" si="0"/>
        <v>6.9999999999999999E-4</v>
      </c>
      <c r="M20" s="311"/>
    </row>
    <row r="21" spans="1:13">
      <c r="A21" s="322" t="s">
        <v>461</v>
      </c>
      <c r="B21" s="322"/>
      <c r="C21" s="322"/>
      <c r="D21" s="322"/>
      <c r="E21" s="348">
        <f>+'Ftr 3 &amp; 6'!N122</f>
        <v>54</v>
      </c>
      <c r="F21" s="322"/>
      <c r="G21" s="322"/>
      <c r="H21" s="322"/>
      <c r="I21" s="911">
        <f t="shared" si="0"/>
        <v>1E-4</v>
      </c>
      <c r="M21" s="311"/>
    </row>
    <row r="22" spans="1:13" ht="14.1" customHeight="1">
      <c r="A22" s="322" t="s">
        <v>424</v>
      </c>
      <c r="B22" s="322"/>
      <c r="C22" s="322"/>
      <c r="D22" s="322"/>
      <c r="E22" s="359">
        <f>+'Ftr 3 &amp; 6'!N123</f>
        <v>380</v>
      </c>
      <c r="F22" s="322"/>
      <c r="G22" s="322"/>
      <c r="H22" s="322"/>
      <c r="I22" s="471">
        <f t="shared" si="0"/>
        <v>5.9999999999999995E-4</v>
      </c>
      <c r="M22" s="378"/>
    </row>
    <row r="23" spans="1:13" ht="12.95" customHeight="1">
      <c r="A23" s="322"/>
      <c r="B23" s="322"/>
      <c r="C23" s="322"/>
      <c r="D23" s="322"/>
      <c r="E23" s="322"/>
      <c r="F23" s="322"/>
      <c r="G23" s="322"/>
      <c r="H23" s="322"/>
      <c r="I23" s="911"/>
      <c r="M23" s="311"/>
    </row>
    <row r="24" spans="1:13" ht="15.75" thickBot="1">
      <c r="A24" s="322" t="s">
        <v>176</v>
      </c>
      <c r="B24" s="322"/>
      <c r="C24" s="322"/>
      <c r="D24" s="322"/>
      <c r="E24" s="372">
        <f>SUM(E17:E22)</f>
        <v>663068.89777777775</v>
      </c>
      <c r="F24" s="322"/>
      <c r="G24" s="322"/>
      <c r="H24" s="322"/>
      <c r="I24" s="384">
        <f>SUM(I17:I22)</f>
        <v>1</v>
      </c>
      <c r="L24" s="391"/>
      <c r="M24" s="385"/>
    </row>
    <row r="25" spans="1:13" ht="15.75" thickTop="1">
      <c r="A25" s="322"/>
      <c r="B25" s="322"/>
      <c r="C25" s="322"/>
      <c r="D25" s="322"/>
      <c r="E25" s="912"/>
      <c r="F25" s="333"/>
      <c r="G25" s="322"/>
      <c r="H25" s="333"/>
      <c r="I25" s="912"/>
    </row>
    <row r="26" spans="1:13" ht="24" customHeight="1">
      <c r="A26" s="369" t="s">
        <v>583</v>
      </c>
      <c r="B26" s="369"/>
      <c r="C26" s="369"/>
      <c r="D26" s="369"/>
      <c r="E26" s="369"/>
      <c r="F26" s="369"/>
      <c r="G26" s="369"/>
      <c r="H26" s="322"/>
      <c r="I26" s="322"/>
      <c r="J26" s="322"/>
    </row>
    <row r="27" spans="1:13" ht="10.15" customHeight="1">
      <c r="A27" s="369"/>
      <c r="B27" s="369"/>
      <c r="C27" s="369"/>
      <c r="D27" s="369"/>
      <c r="E27" s="369"/>
      <c r="F27" s="369"/>
      <c r="G27" s="369"/>
      <c r="H27" s="322"/>
      <c r="I27" s="322"/>
      <c r="J27" s="322"/>
    </row>
    <row r="28" spans="1:13">
      <c r="A28" s="322" t="s">
        <v>584</v>
      </c>
      <c r="B28" s="322"/>
      <c r="C28" s="322"/>
      <c r="D28" s="322"/>
      <c r="E28" s="322"/>
      <c r="F28" s="322"/>
      <c r="G28" s="322"/>
      <c r="H28" s="322"/>
      <c r="I28" s="322"/>
      <c r="J28" s="322"/>
    </row>
    <row r="29" spans="1:13">
      <c r="A29" s="322"/>
      <c r="B29" s="322"/>
      <c r="C29" s="322"/>
      <c r="D29" s="322"/>
      <c r="E29" s="322"/>
      <c r="F29" s="322"/>
      <c r="G29" s="322"/>
      <c r="H29" s="322"/>
      <c r="I29" s="322"/>
      <c r="J29" s="322"/>
    </row>
    <row r="30" spans="1:13">
      <c r="A30" s="322"/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13">
      <c r="A31" s="321" t="s">
        <v>171</v>
      </c>
      <c r="B31" s="322"/>
      <c r="C31" s="908"/>
      <c r="D31" s="322"/>
      <c r="E31" s="329" t="s">
        <v>202</v>
      </c>
      <c r="F31" s="333"/>
      <c r="G31" s="350"/>
      <c r="H31" s="333"/>
      <c r="I31" s="329" t="s">
        <v>180</v>
      </c>
      <c r="J31" s="322"/>
    </row>
    <row r="32" spans="1:13">
      <c r="A32" s="321" t="s">
        <v>172</v>
      </c>
      <c r="B32" s="322"/>
      <c r="C32" s="322"/>
      <c r="D32" s="322"/>
      <c r="E32" s="908" t="s">
        <v>325</v>
      </c>
      <c r="F32" s="322"/>
      <c r="G32" s="322"/>
      <c r="H32" s="322"/>
      <c r="I32" s="908" t="s">
        <v>186</v>
      </c>
      <c r="J32" s="322"/>
    </row>
    <row r="33" spans="1:10">
      <c r="A33" s="326" t="s">
        <v>173</v>
      </c>
      <c r="B33" s="322"/>
      <c r="C33" s="908"/>
      <c r="D33" s="322"/>
      <c r="E33" s="327" t="s">
        <v>181</v>
      </c>
      <c r="F33" s="322"/>
      <c r="G33" s="350"/>
      <c r="H33" s="322"/>
      <c r="I33" s="327" t="s">
        <v>194</v>
      </c>
      <c r="J33" s="333"/>
    </row>
    <row r="34" spans="1:10">
      <c r="A34" s="322"/>
      <c r="B34" s="322"/>
      <c r="C34" s="322"/>
      <c r="D34" s="322"/>
      <c r="E34" s="322"/>
      <c r="F34" s="322"/>
      <c r="G34" s="322"/>
      <c r="H34" s="322"/>
      <c r="I34" s="322"/>
      <c r="J34" s="333"/>
    </row>
    <row r="35" spans="1:10">
      <c r="A35" s="330" t="s">
        <v>253</v>
      </c>
      <c r="B35" s="322"/>
      <c r="C35" s="322"/>
      <c r="D35" s="322"/>
      <c r="E35" s="322"/>
      <c r="F35" s="322"/>
      <c r="G35" s="322"/>
      <c r="H35" s="322"/>
      <c r="I35" s="322"/>
      <c r="J35" s="333"/>
    </row>
    <row r="36" spans="1:10">
      <c r="A36" s="322" t="s">
        <v>318</v>
      </c>
      <c r="B36" s="322"/>
      <c r="C36" s="322"/>
      <c r="D36" s="322"/>
      <c r="E36" s="348">
        <f>+E17</f>
        <v>592467</v>
      </c>
      <c r="F36" s="322"/>
      <c r="G36" s="322"/>
      <c r="H36" s="322"/>
      <c r="I36" s="911">
        <f>ROUND(+E36/$E$43,4)</f>
        <v>0.89680000000000004</v>
      </c>
      <c r="J36" s="333"/>
    </row>
    <row r="37" spans="1:10">
      <c r="A37" s="322" t="s">
        <v>314</v>
      </c>
      <c r="B37" s="322"/>
      <c r="C37" s="322"/>
      <c r="D37" s="322"/>
      <c r="E37" s="348">
        <f>+E18</f>
        <v>68143.897777777776</v>
      </c>
      <c r="F37" s="322"/>
      <c r="G37" s="322"/>
      <c r="H37" s="322"/>
      <c r="I37" s="471">
        <f>ROUND(+E37/$E$43,4)</f>
        <v>0.1032</v>
      </c>
      <c r="J37" s="333"/>
    </row>
    <row r="38" spans="1:10" hidden="1">
      <c r="A38" s="322" t="s">
        <v>315</v>
      </c>
      <c r="B38" s="322"/>
      <c r="C38" s="322"/>
      <c r="D38" s="322"/>
      <c r="E38" s="913">
        <f>+'Ft  1to4'!F127*12</f>
        <v>0</v>
      </c>
      <c r="F38" s="322"/>
      <c r="G38" s="322"/>
      <c r="H38" s="322"/>
      <c r="I38" s="911">
        <f>ROUND(+E38/$E$24,4)</f>
        <v>0</v>
      </c>
      <c r="J38" s="333"/>
    </row>
    <row r="39" spans="1:10" ht="15.75" hidden="1" thickBot="1">
      <c r="A39" s="322" t="s">
        <v>316</v>
      </c>
      <c r="B39" s="322"/>
      <c r="C39" s="322"/>
      <c r="D39" s="322"/>
      <c r="E39" s="913">
        <f>+'Ft  1to4'!F128*12</f>
        <v>0</v>
      </c>
      <c r="F39" s="322"/>
      <c r="G39" s="322"/>
      <c r="H39" s="322"/>
      <c r="I39" s="384">
        <f>ROUND(+E39/$E$24,4)</f>
        <v>0</v>
      </c>
      <c r="J39" s="322"/>
    </row>
    <row r="40" spans="1:10" hidden="1">
      <c r="A40" s="322" t="s">
        <v>317</v>
      </c>
      <c r="B40" s="322"/>
      <c r="C40" s="322"/>
      <c r="D40" s="322"/>
      <c r="E40" s="913">
        <f>+'Ft  1to4'!F129*12</f>
        <v>0</v>
      </c>
      <c r="F40" s="322"/>
      <c r="G40" s="322"/>
      <c r="H40" s="322"/>
      <c r="I40" s="322">
        <f>ROUND(+E40/$E$24,4)</f>
        <v>0</v>
      </c>
      <c r="J40" s="322"/>
    </row>
    <row r="41" spans="1:10" hidden="1">
      <c r="A41" s="322" t="s">
        <v>284</v>
      </c>
      <c r="B41" s="322"/>
      <c r="C41" s="322"/>
      <c r="D41" s="322"/>
      <c r="E41" s="913">
        <f>+'Ft  1to4'!F130*12</f>
        <v>0</v>
      </c>
      <c r="F41" s="322"/>
      <c r="G41" s="322"/>
      <c r="H41" s="322"/>
      <c r="I41" s="914">
        <f>ROUND(+E41/$E$24,4)</f>
        <v>0</v>
      </c>
      <c r="J41" s="322"/>
    </row>
    <row r="42" spans="1:10">
      <c r="A42" s="322"/>
      <c r="B42" s="322"/>
      <c r="C42" s="322"/>
      <c r="D42" s="322"/>
      <c r="E42" s="915"/>
      <c r="F42" s="322"/>
      <c r="G42" s="322"/>
      <c r="H42" s="322"/>
      <c r="I42" s="916"/>
      <c r="J42" s="322"/>
    </row>
    <row r="43" spans="1:10" ht="15.75" thickBot="1">
      <c r="A43" s="322" t="s">
        <v>176</v>
      </c>
      <c r="B43" s="322"/>
      <c r="C43" s="322"/>
      <c r="D43" s="322"/>
      <c r="E43" s="372">
        <f>SUM(E36:E41)</f>
        <v>660610.89777777775</v>
      </c>
      <c r="F43" s="322"/>
      <c r="G43" s="322"/>
      <c r="H43" s="322"/>
      <c r="I43" s="384">
        <f>SUM(I36:I41)</f>
        <v>1</v>
      </c>
      <c r="J43" s="322"/>
    </row>
    <row r="44" spans="1:10" ht="15.75" thickTop="1">
      <c r="A44" s="322"/>
      <c r="B44" s="322"/>
      <c r="C44" s="322"/>
      <c r="D44" s="322"/>
      <c r="E44" s="912"/>
      <c r="F44" s="333"/>
      <c r="G44" s="333"/>
      <c r="H44" s="333"/>
      <c r="I44" s="912"/>
      <c r="J44" s="322"/>
    </row>
    <row r="45" spans="1:10">
      <c r="A45" s="322"/>
      <c r="B45" s="322"/>
      <c r="C45" s="322"/>
      <c r="D45" s="322"/>
      <c r="E45" s="912"/>
      <c r="F45" s="333"/>
      <c r="G45" s="333"/>
      <c r="H45" s="333"/>
      <c r="I45" s="912"/>
      <c r="J45" s="322"/>
    </row>
    <row r="46" spans="1:10">
      <c r="A46" s="1032" t="s">
        <v>802</v>
      </c>
      <c r="B46" s="1032"/>
      <c r="C46" s="1032"/>
      <c r="D46" s="1032"/>
      <c r="E46" s="1032"/>
      <c r="F46" s="1032"/>
      <c r="G46" s="1032"/>
      <c r="H46" s="1032"/>
      <c r="I46" s="1032"/>
      <c r="J46" s="322"/>
    </row>
    <row r="47" spans="1:10">
      <c r="A47" s="322"/>
      <c r="B47" s="322"/>
      <c r="C47" s="322"/>
      <c r="D47" s="322"/>
      <c r="E47" s="322"/>
      <c r="F47" s="322"/>
      <c r="G47" s="322"/>
      <c r="H47" s="322"/>
      <c r="I47" s="322"/>
      <c r="J47" s="322"/>
    </row>
    <row r="48" spans="1:10">
      <c r="A48" s="322" t="s">
        <v>170</v>
      </c>
      <c r="B48" s="322"/>
      <c r="C48" s="322"/>
      <c r="D48" s="322"/>
      <c r="E48" s="322"/>
      <c r="F48" s="322"/>
      <c r="G48" s="322"/>
      <c r="H48" s="322"/>
      <c r="I48" s="322"/>
      <c r="J48" s="322"/>
    </row>
    <row r="49" spans="1:10">
      <c r="A49" s="322"/>
      <c r="B49" s="322"/>
      <c r="C49" s="322"/>
      <c r="D49" s="322"/>
      <c r="E49" s="322"/>
      <c r="F49" s="322"/>
      <c r="G49" s="322"/>
      <c r="H49" s="322"/>
      <c r="I49" s="322"/>
      <c r="J49" s="322"/>
    </row>
    <row r="50" spans="1:10">
      <c r="A50" s="322"/>
      <c r="B50" s="322"/>
      <c r="C50" s="322"/>
      <c r="D50" s="322"/>
      <c r="E50" s="322"/>
      <c r="F50" s="322"/>
      <c r="G50" s="322"/>
      <c r="H50" s="322"/>
      <c r="I50" s="322"/>
      <c r="J50" s="322"/>
    </row>
    <row r="51" spans="1:10">
      <c r="A51" s="369" t="s">
        <v>403</v>
      </c>
      <c r="B51" s="322"/>
      <c r="C51" s="322"/>
      <c r="D51" s="322"/>
      <c r="E51" s="322"/>
      <c r="F51" s="322"/>
      <c r="G51" s="322"/>
      <c r="H51" s="322"/>
      <c r="I51" s="322"/>
      <c r="J51" s="322"/>
    </row>
    <row r="52" spans="1:10">
      <c r="A52" s="322"/>
      <c r="B52" s="322"/>
      <c r="C52" s="322"/>
      <c r="D52" s="322"/>
      <c r="E52" s="322"/>
      <c r="F52" s="322"/>
      <c r="G52" s="322"/>
      <c r="H52" s="322"/>
      <c r="I52" s="322"/>
      <c r="J52" s="322"/>
    </row>
    <row r="53" spans="1:10">
      <c r="A53" s="322" t="s">
        <v>404</v>
      </c>
      <c r="B53" s="322"/>
      <c r="C53" s="322"/>
      <c r="D53" s="322"/>
      <c r="E53" s="322"/>
      <c r="F53" s="322"/>
      <c r="G53" s="322"/>
      <c r="H53" s="322"/>
      <c r="I53" s="322"/>
      <c r="J53" s="322"/>
    </row>
    <row r="54" spans="1:10">
      <c r="A54" s="322"/>
      <c r="B54" s="322"/>
      <c r="C54" s="322"/>
      <c r="D54" s="322"/>
      <c r="E54" s="322"/>
      <c r="F54" s="322"/>
      <c r="G54" s="322"/>
      <c r="H54" s="322"/>
      <c r="I54" s="322"/>
      <c r="J54" s="322"/>
    </row>
    <row r="55" spans="1:10">
      <c r="A55" s="321" t="s">
        <v>171</v>
      </c>
      <c r="B55" s="322"/>
      <c r="C55" s="908"/>
      <c r="D55" s="322"/>
      <c r="E55" s="329"/>
      <c r="F55" s="333"/>
      <c r="G55" s="350"/>
      <c r="H55" s="333"/>
      <c r="I55" s="329" t="s">
        <v>180</v>
      </c>
      <c r="J55" s="322"/>
    </row>
    <row r="56" spans="1:10">
      <c r="A56" s="321" t="s">
        <v>172</v>
      </c>
      <c r="B56" s="322"/>
      <c r="C56" s="322"/>
      <c r="D56" s="322"/>
      <c r="E56" s="322"/>
      <c r="F56" s="322"/>
      <c r="G56" s="322"/>
      <c r="H56" s="322"/>
      <c r="I56" s="908" t="s">
        <v>186</v>
      </c>
      <c r="J56" s="322"/>
    </row>
    <row r="57" spans="1:10">
      <c r="A57" s="326" t="s">
        <v>173</v>
      </c>
      <c r="B57" s="322"/>
      <c r="C57" s="908"/>
      <c r="D57" s="322"/>
      <c r="E57" s="350"/>
      <c r="F57" s="322"/>
      <c r="G57" s="350"/>
      <c r="H57" s="322"/>
      <c r="I57" s="327" t="s">
        <v>194</v>
      </c>
      <c r="J57" s="322"/>
    </row>
    <row r="58" spans="1:10">
      <c r="A58" s="322"/>
      <c r="B58" s="322"/>
      <c r="C58" s="322"/>
      <c r="D58" s="322"/>
      <c r="E58" s="322"/>
      <c r="F58" s="322"/>
      <c r="G58" s="322"/>
      <c r="H58" s="322"/>
      <c r="I58" s="322"/>
      <c r="J58" s="322"/>
    </row>
    <row r="59" spans="1:10">
      <c r="A59" s="330" t="s">
        <v>253</v>
      </c>
      <c r="B59" s="322"/>
      <c r="C59" s="322"/>
      <c r="D59" s="322"/>
      <c r="E59" s="322"/>
      <c r="F59" s="322"/>
      <c r="G59" s="322"/>
      <c r="H59" s="322"/>
      <c r="I59" s="322"/>
      <c r="J59" s="322"/>
    </row>
    <row r="60" spans="1:10" ht="15.75" thickBot="1">
      <c r="A60" s="322" t="s">
        <v>319</v>
      </c>
      <c r="B60" s="322"/>
      <c r="C60" s="322"/>
      <c r="D60" s="322"/>
      <c r="E60" s="322"/>
      <c r="F60" s="322"/>
      <c r="G60" s="322"/>
      <c r="H60" s="322"/>
      <c r="I60" s="917">
        <v>1</v>
      </c>
      <c r="J60" s="322"/>
    </row>
    <row r="61" spans="1:10" ht="15.75" thickTop="1">
      <c r="A61" s="322"/>
      <c r="B61" s="322"/>
      <c r="C61" s="322"/>
      <c r="D61" s="322"/>
      <c r="E61" s="322"/>
      <c r="F61" s="322"/>
      <c r="G61" s="322"/>
      <c r="H61" s="322"/>
      <c r="I61" s="322"/>
      <c r="J61" s="322"/>
    </row>
    <row r="62" spans="1:10">
      <c r="A62" s="322"/>
      <c r="B62" s="322"/>
      <c r="C62" s="322"/>
      <c r="D62" s="322"/>
      <c r="E62" s="322"/>
      <c r="F62" s="322"/>
      <c r="G62" s="322"/>
      <c r="H62" s="322"/>
      <c r="I62" s="322"/>
      <c r="J62" s="322"/>
    </row>
    <row r="63" spans="1:10">
      <c r="A63" s="322"/>
      <c r="B63" s="322"/>
      <c r="C63" s="322"/>
      <c r="D63" s="322"/>
      <c r="E63" s="322"/>
      <c r="F63" s="322"/>
      <c r="G63" s="322"/>
      <c r="H63" s="322"/>
      <c r="I63" s="322"/>
      <c r="J63" s="322"/>
    </row>
    <row r="64" spans="1:10">
      <c r="A64" s="322"/>
      <c r="B64" s="322"/>
      <c r="C64" s="322"/>
      <c r="D64" s="322"/>
      <c r="E64" s="322"/>
      <c r="F64" s="322"/>
      <c r="G64" s="322"/>
      <c r="H64" s="322"/>
      <c r="I64" s="322"/>
      <c r="J64" s="322"/>
    </row>
    <row r="65" spans="1:10">
      <c r="A65" s="322"/>
      <c r="B65" s="322"/>
      <c r="C65" s="322"/>
      <c r="D65" s="322"/>
      <c r="E65" s="322"/>
      <c r="F65" s="322"/>
      <c r="G65" s="322"/>
      <c r="H65" s="322"/>
      <c r="I65" s="322"/>
      <c r="J65" s="322"/>
    </row>
    <row r="66" spans="1:10">
      <c r="A66" s="322"/>
      <c r="B66" s="322"/>
      <c r="C66" s="322"/>
      <c r="D66" s="322"/>
      <c r="E66" s="322"/>
      <c r="F66" s="322"/>
      <c r="G66" s="322"/>
      <c r="H66" s="322"/>
      <c r="I66" s="322"/>
      <c r="J66" s="322"/>
    </row>
    <row r="67" spans="1:10">
      <c r="A67" s="322"/>
      <c r="B67" s="322"/>
      <c r="C67" s="322"/>
      <c r="D67" s="322"/>
      <c r="E67" s="322"/>
      <c r="F67" s="322"/>
      <c r="G67" s="322"/>
      <c r="H67" s="322"/>
      <c r="I67" s="322"/>
      <c r="J67" s="322"/>
    </row>
    <row r="68" spans="1:10">
      <c r="A68" s="322"/>
      <c r="B68" s="322"/>
      <c r="C68" s="322"/>
      <c r="D68" s="322"/>
      <c r="E68" s="322"/>
      <c r="F68" s="322"/>
      <c r="G68" s="322"/>
      <c r="H68" s="322"/>
      <c r="I68" s="322"/>
      <c r="J68" s="322"/>
    </row>
    <row r="69" spans="1:10">
      <c r="A69" s="322"/>
      <c r="B69" s="322"/>
      <c r="C69" s="322"/>
      <c r="D69" s="322"/>
      <c r="E69" s="322"/>
      <c r="F69" s="322"/>
      <c r="G69" s="322"/>
      <c r="H69" s="322"/>
      <c r="I69" s="322"/>
      <c r="J69" s="322"/>
    </row>
    <row r="70" spans="1:10">
      <c r="A70" s="322"/>
      <c r="B70" s="322"/>
      <c r="C70" s="322"/>
      <c r="D70" s="322"/>
      <c r="E70" s="322"/>
      <c r="F70" s="322"/>
      <c r="G70" s="322"/>
      <c r="H70" s="322"/>
      <c r="I70" s="322"/>
      <c r="J70" s="322"/>
    </row>
    <row r="71" spans="1:10">
      <c r="A71" s="322"/>
      <c r="B71" s="322"/>
      <c r="C71" s="322"/>
      <c r="D71" s="322"/>
      <c r="E71" s="322"/>
      <c r="F71" s="322"/>
      <c r="G71" s="322"/>
      <c r="H71" s="322"/>
      <c r="I71" s="322"/>
      <c r="J71" s="322"/>
    </row>
    <row r="72" spans="1:10">
      <c r="A72" s="322"/>
      <c r="B72" s="322"/>
      <c r="C72" s="322"/>
      <c r="D72" s="322"/>
      <c r="E72" s="322"/>
      <c r="F72" s="322"/>
      <c r="G72" s="322"/>
      <c r="H72" s="322"/>
      <c r="I72" s="322"/>
      <c r="J72" s="322"/>
    </row>
    <row r="73" spans="1:10">
      <c r="A73" s="322"/>
      <c r="B73" s="322"/>
      <c r="C73" s="322"/>
      <c r="D73" s="322"/>
      <c r="E73" s="322"/>
      <c r="F73" s="322"/>
      <c r="G73" s="322"/>
      <c r="H73" s="322"/>
      <c r="I73" s="322"/>
      <c r="J73" s="322"/>
    </row>
    <row r="74" spans="1:10">
      <c r="A74" s="322"/>
      <c r="B74" s="322"/>
      <c r="C74" s="322"/>
      <c r="D74" s="322"/>
      <c r="E74" s="322"/>
      <c r="F74" s="322"/>
      <c r="G74" s="322"/>
      <c r="H74" s="322"/>
      <c r="I74" s="322"/>
      <c r="J74" s="322"/>
    </row>
    <row r="75" spans="1:10">
      <c r="A75" s="322"/>
      <c r="B75" s="322"/>
      <c r="C75" s="322"/>
      <c r="D75" s="322"/>
      <c r="E75" s="322"/>
      <c r="F75" s="322"/>
      <c r="G75" s="322"/>
      <c r="H75" s="322"/>
      <c r="I75" s="322"/>
      <c r="J75" s="322"/>
    </row>
    <row r="76" spans="1:10">
      <c r="A76" s="322"/>
      <c r="B76" s="322"/>
      <c r="C76" s="322"/>
      <c r="D76" s="322"/>
      <c r="E76" s="322"/>
      <c r="F76" s="322"/>
      <c r="G76" s="322"/>
      <c r="H76" s="322"/>
      <c r="I76" s="322"/>
      <c r="J76" s="322"/>
    </row>
    <row r="77" spans="1:10">
      <c r="A77" s="322"/>
      <c r="B77" s="322"/>
      <c r="C77" s="322"/>
      <c r="D77" s="322"/>
      <c r="E77" s="322"/>
      <c r="F77" s="322"/>
      <c r="G77" s="322"/>
      <c r="H77" s="322"/>
      <c r="I77" s="322"/>
      <c r="J77" s="322"/>
    </row>
    <row r="78" spans="1:10">
      <c r="A78" s="322"/>
      <c r="B78" s="322"/>
      <c r="C78" s="322"/>
      <c r="D78" s="322"/>
      <c r="E78" s="322"/>
      <c r="F78" s="322"/>
      <c r="G78" s="322"/>
      <c r="H78" s="322"/>
      <c r="I78" s="322"/>
      <c r="J78" s="322"/>
    </row>
    <row r="79" spans="1:10">
      <c r="A79" s="322"/>
      <c r="B79" s="322"/>
      <c r="C79" s="322"/>
      <c r="D79" s="322"/>
      <c r="E79" s="322"/>
      <c r="F79" s="322"/>
      <c r="G79" s="322"/>
      <c r="H79" s="322"/>
      <c r="I79" s="322"/>
      <c r="J79" s="322"/>
    </row>
    <row r="80" spans="1:10">
      <c r="A80" s="322"/>
      <c r="B80" s="322"/>
      <c r="C80" s="322"/>
      <c r="D80" s="322"/>
      <c r="E80" s="322"/>
      <c r="F80" s="322"/>
      <c r="G80" s="322"/>
      <c r="H80" s="322"/>
      <c r="I80" s="322"/>
      <c r="J80" s="322"/>
    </row>
    <row r="81" spans="1:10">
      <c r="A81" s="322"/>
      <c r="B81" s="322"/>
      <c r="C81" s="322"/>
      <c r="D81" s="322"/>
      <c r="E81" s="322"/>
      <c r="F81" s="322"/>
      <c r="G81" s="322"/>
      <c r="H81" s="322"/>
      <c r="I81" s="322"/>
      <c r="J81" s="322"/>
    </row>
    <row r="82" spans="1:10">
      <c r="A82" s="322"/>
      <c r="B82" s="322"/>
      <c r="C82" s="322"/>
      <c r="D82" s="322"/>
      <c r="E82" s="322"/>
      <c r="F82" s="322"/>
      <c r="G82" s="322"/>
      <c r="H82" s="322"/>
      <c r="I82" s="322"/>
      <c r="J82" s="322"/>
    </row>
    <row r="83" spans="1:10">
      <c r="A83" s="322"/>
      <c r="B83" s="322"/>
      <c r="C83" s="322"/>
      <c r="D83" s="322"/>
      <c r="E83" s="322"/>
      <c r="F83" s="322"/>
      <c r="G83" s="322"/>
      <c r="H83" s="322"/>
      <c r="I83" s="322"/>
      <c r="J83" s="322"/>
    </row>
    <row r="84" spans="1:10">
      <c r="A84" s="322"/>
      <c r="B84" s="322"/>
      <c r="C84" s="322"/>
      <c r="D84" s="322"/>
      <c r="E84" s="322"/>
      <c r="F84" s="322"/>
      <c r="G84" s="322"/>
      <c r="H84" s="322"/>
      <c r="I84" s="322"/>
      <c r="J84" s="322"/>
    </row>
    <row r="85" spans="1:10">
      <c r="A85" s="322"/>
      <c r="B85" s="322"/>
      <c r="C85" s="322"/>
      <c r="D85" s="322"/>
      <c r="E85" s="322"/>
      <c r="F85" s="322"/>
      <c r="G85" s="322"/>
      <c r="H85" s="322"/>
      <c r="I85" s="322"/>
      <c r="J85" s="322"/>
    </row>
    <row r="86" spans="1:10">
      <c r="A86" s="322"/>
      <c r="B86" s="322"/>
      <c r="C86" s="322"/>
      <c r="D86" s="322"/>
      <c r="E86" s="322"/>
      <c r="F86" s="322"/>
      <c r="G86" s="322"/>
      <c r="H86" s="322"/>
      <c r="I86" s="322"/>
      <c r="J86" s="322"/>
    </row>
    <row r="87" spans="1:10">
      <c r="A87" s="322"/>
      <c r="B87" s="322"/>
      <c r="C87" s="322"/>
      <c r="D87" s="322"/>
      <c r="E87" s="322"/>
      <c r="F87" s="322"/>
      <c r="G87" s="322"/>
      <c r="H87" s="322"/>
      <c r="I87" s="322"/>
      <c r="J87" s="322"/>
    </row>
    <row r="88" spans="1:10">
      <c r="A88" s="322"/>
      <c r="B88" s="322"/>
      <c r="C88" s="322"/>
      <c r="D88" s="322"/>
      <c r="E88" s="322"/>
      <c r="F88" s="322"/>
      <c r="G88" s="322"/>
      <c r="H88" s="322"/>
      <c r="I88" s="322"/>
      <c r="J88" s="322"/>
    </row>
    <row r="89" spans="1:10">
      <c r="A89" s="322"/>
      <c r="B89" s="322"/>
      <c r="C89" s="322"/>
      <c r="D89" s="322"/>
      <c r="E89" s="322"/>
      <c r="F89" s="322"/>
      <c r="G89" s="322"/>
      <c r="H89" s="322"/>
      <c r="I89" s="322"/>
      <c r="J89" s="322"/>
    </row>
    <row r="90" spans="1:10">
      <c r="A90" s="322"/>
      <c r="B90" s="322"/>
      <c r="C90" s="322"/>
      <c r="D90" s="322"/>
      <c r="E90" s="322"/>
      <c r="F90" s="322"/>
      <c r="G90" s="322"/>
      <c r="H90" s="322"/>
      <c r="I90" s="322"/>
      <c r="J90" s="322"/>
    </row>
    <row r="91" spans="1:10">
      <c r="A91" s="322"/>
      <c r="B91" s="322"/>
      <c r="C91" s="322"/>
      <c r="D91" s="322"/>
      <c r="E91" s="322"/>
      <c r="F91" s="322"/>
      <c r="G91" s="322"/>
      <c r="H91" s="322"/>
      <c r="I91" s="322"/>
      <c r="J91" s="322"/>
    </row>
    <row r="92" spans="1:10">
      <c r="A92" s="322"/>
      <c r="B92" s="322"/>
      <c r="C92" s="322"/>
      <c r="D92" s="322"/>
      <c r="E92" s="322"/>
      <c r="F92" s="322"/>
      <c r="G92" s="322"/>
      <c r="H92" s="322"/>
      <c r="I92" s="322"/>
      <c r="J92" s="322"/>
    </row>
    <row r="93" spans="1:10">
      <c r="A93" s="322"/>
      <c r="B93" s="322"/>
      <c r="C93" s="322"/>
      <c r="D93" s="322"/>
      <c r="E93" s="322"/>
      <c r="F93" s="322"/>
      <c r="G93" s="322"/>
      <c r="H93" s="322"/>
      <c r="I93" s="322"/>
      <c r="J93" s="322"/>
    </row>
    <row r="94" spans="1:10">
      <c r="A94" s="322"/>
      <c r="B94" s="322"/>
      <c r="C94" s="322"/>
      <c r="D94" s="322"/>
      <c r="E94" s="322"/>
      <c r="F94" s="322"/>
      <c r="G94" s="322"/>
      <c r="H94" s="322"/>
      <c r="I94" s="322"/>
      <c r="J94" s="322"/>
    </row>
    <row r="95" spans="1:10">
      <c r="A95" s="322"/>
      <c r="B95" s="322"/>
      <c r="C95" s="322"/>
      <c r="D95" s="322"/>
      <c r="E95" s="322"/>
      <c r="F95" s="322"/>
      <c r="G95" s="322"/>
      <c r="H95" s="322"/>
      <c r="I95" s="322"/>
      <c r="J95" s="322"/>
    </row>
    <row r="96" spans="1:10">
      <c r="A96" s="322"/>
      <c r="B96" s="322"/>
      <c r="C96" s="322"/>
      <c r="D96" s="322"/>
      <c r="E96" s="322"/>
      <c r="F96" s="322"/>
      <c r="G96" s="322"/>
      <c r="H96" s="322"/>
      <c r="I96" s="322"/>
      <c r="J96" s="322"/>
    </row>
    <row r="97" spans="1:10">
      <c r="A97" s="322"/>
      <c r="B97" s="322"/>
      <c r="C97" s="322"/>
      <c r="D97" s="322"/>
      <c r="E97" s="322"/>
      <c r="F97" s="322"/>
      <c r="G97" s="322"/>
      <c r="H97" s="322"/>
      <c r="I97" s="322"/>
      <c r="J97" s="322"/>
    </row>
    <row r="98" spans="1:10">
      <c r="A98" s="322"/>
      <c r="B98" s="322"/>
      <c r="C98" s="322"/>
      <c r="D98" s="322"/>
      <c r="E98" s="322"/>
      <c r="F98" s="322"/>
      <c r="G98" s="322"/>
      <c r="H98" s="322"/>
      <c r="I98" s="322"/>
      <c r="J98" s="322"/>
    </row>
    <row r="99" spans="1:10">
      <c r="A99" s="322"/>
      <c r="B99" s="322"/>
      <c r="C99" s="322"/>
      <c r="D99" s="322"/>
      <c r="E99" s="322"/>
      <c r="F99" s="322"/>
      <c r="G99" s="322"/>
      <c r="H99" s="322"/>
      <c r="I99" s="322"/>
      <c r="J99" s="322"/>
    </row>
    <row r="100" spans="1:10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</row>
    <row r="101" spans="1:10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</row>
    <row r="102" spans="1:10">
      <c r="A102" s="322"/>
      <c r="B102" s="322"/>
      <c r="C102" s="322"/>
      <c r="D102" s="322"/>
      <c r="E102" s="322"/>
      <c r="F102" s="322"/>
      <c r="G102" s="322"/>
      <c r="H102" s="322"/>
      <c r="I102" s="322"/>
      <c r="J102" s="322"/>
    </row>
    <row r="103" spans="1:10">
      <c r="A103" s="322"/>
      <c r="B103" s="322"/>
      <c r="C103" s="322"/>
      <c r="D103" s="322"/>
      <c r="E103" s="322"/>
      <c r="F103" s="322"/>
      <c r="G103" s="322"/>
      <c r="H103" s="322"/>
      <c r="I103" s="322"/>
      <c r="J103" s="322"/>
    </row>
    <row r="104" spans="1:10">
      <c r="A104" s="322"/>
      <c r="B104" s="322"/>
      <c r="C104" s="322"/>
      <c r="D104" s="322"/>
      <c r="E104" s="322"/>
      <c r="F104" s="322"/>
      <c r="G104" s="322"/>
      <c r="H104" s="322"/>
      <c r="I104" s="322"/>
      <c r="J104" s="322"/>
    </row>
    <row r="105" spans="1:10">
      <c r="A105" s="322"/>
      <c r="B105" s="322"/>
      <c r="C105" s="322"/>
      <c r="D105" s="322"/>
      <c r="E105" s="322"/>
      <c r="F105" s="322"/>
      <c r="G105" s="322"/>
      <c r="H105" s="322"/>
      <c r="I105" s="322"/>
      <c r="J105" s="322"/>
    </row>
    <row r="106" spans="1:10">
      <c r="A106" s="322"/>
      <c r="B106" s="322"/>
      <c r="C106" s="322"/>
      <c r="D106" s="322"/>
      <c r="E106" s="322"/>
      <c r="F106" s="322"/>
      <c r="G106" s="322"/>
      <c r="H106" s="322"/>
      <c r="I106" s="322"/>
      <c r="J106" s="322"/>
    </row>
    <row r="107" spans="1:10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</row>
    <row r="108" spans="1:10">
      <c r="A108" s="322"/>
      <c r="B108" s="322"/>
      <c r="C108" s="322"/>
      <c r="D108" s="322"/>
      <c r="E108" s="322"/>
      <c r="F108" s="322"/>
      <c r="G108" s="322"/>
      <c r="H108" s="322"/>
      <c r="I108" s="322"/>
      <c r="J108" s="322"/>
    </row>
    <row r="109" spans="1:10">
      <c r="A109" s="322"/>
      <c r="B109" s="322"/>
      <c r="C109" s="322"/>
      <c r="D109" s="322"/>
      <c r="E109" s="322"/>
      <c r="F109" s="322"/>
      <c r="G109" s="322"/>
      <c r="H109" s="322"/>
      <c r="I109" s="322"/>
      <c r="J109" s="322"/>
    </row>
    <row r="110" spans="1:10">
      <c r="A110" s="322"/>
      <c r="B110" s="322"/>
      <c r="C110" s="322"/>
      <c r="D110" s="322"/>
      <c r="E110" s="322"/>
      <c r="F110" s="322"/>
      <c r="G110" s="322"/>
      <c r="H110" s="322"/>
      <c r="I110" s="322"/>
      <c r="J110" s="322"/>
    </row>
    <row r="111" spans="1:10">
      <c r="A111" s="322"/>
      <c r="B111" s="322"/>
      <c r="C111" s="322"/>
      <c r="D111" s="322"/>
      <c r="E111" s="322"/>
      <c r="F111" s="322"/>
      <c r="G111" s="322"/>
      <c r="H111" s="322"/>
      <c r="I111" s="322"/>
      <c r="J111" s="322"/>
    </row>
    <row r="112" spans="1:10">
      <c r="A112" s="322"/>
      <c r="B112" s="322"/>
      <c r="C112" s="322"/>
      <c r="D112" s="322"/>
      <c r="E112" s="322"/>
      <c r="F112" s="322"/>
      <c r="G112" s="322"/>
      <c r="H112" s="322"/>
      <c r="I112" s="322"/>
      <c r="J112" s="322"/>
    </row>
    <row r="113" spans="1:10">
      <c r="A113" s="322"/>
      <c r="B113" s="322"/>
      <c r="C113" s="322"/>
      <c r="D113" s="322"/>
      <c r="E113" s="322"/>
      <c r="F113" s="322"/>
      <c r="G113" s="322"/>
      <c r="H113" s="322"/>
      <c r="I113" s="322"/>
      <c r="J113" s="322"/>
    </row>
    <row r="114" spans="1:10">
      <c r="A114" s="322"/>
      <c r="B114" s="322"/>
      <c r="C114" s="322"/>
      <c r="D114" s="322"/>
      <c r="E114" s="322"/>
      <c r="F114" s="322"/>
      <c r="G114" s="322"/>
      <c r="H114" s="322"/>
      <c r="I114" s="322"/>
      <c r="J114" s="322"/>
    </row>
    <row r="115" spans="1:10">
      <c r="A115" s="322"/>
      <c r="B115" s="322"/>
      <c r="C115" s="322"/>
      <c r="D115" s="322"/>
      <c r="E115" s="322"/>
      <c r="F115" s="322"/>
      <c r="G115" s="322"/>
      <c r="H115" s="322"/>
      <c r="I115" s="322"/>
      <c r="J115" s="322"/>
    </row>
    <row r="116" spans="1:10">
      <c r="A116" s="322"/>
      <c r="B116" s="322"/>
      <c r="C116" s="322"/>
      <c r="D116" s="322"/>
      <c r="E116" s="322"/>
      <c r="F116" s="322"/>
      <c r="G116" s="322"/>
      <c r="H116" s="322"/>
      <c r="I116" s="322"/>
      <c r="J116" s="322"/>
    </row>
    <row r="117" spans="1:10">
      <c r="A117" s="322"/>
      <c r="B117" s="322"/>
      <c r="C117" s="322"/>
      <c r="D117" s="322"/>
      <c r="E117" s="322"/>
      <c r="F117" s="322"/>
      <c r="G117" s="322"/>
      <c r="H117" s="322"/>
      <c r="I117" s="322"/>
      <c r="J117" s="322"/>
    </row>
    <row r="118" spans="1:10">
      <c r="A118" s="322"/>
      <c r="B118" s="322"/>
      <c r="C118" s="322"/>
      <c r="D118" s="322"/>
      <c r="E118" s="322"/>
      <c r="F118" s="322"/>
      <c r="G118" s="322"/>
      <c r="H118" s="322"/>
      <c r="I118" s="322"/>
      <c r="J118" s="322"/>
    </row>
    <row r="119" spans="1:10">
      <c r="A119" s="322"/>
      <c r="B119" s="322"/>
      <c r="C119" s="322"/>
      <c r="D119" s="322"/>
      <c r="E119" s="322"/>
      <c r="F119" s="322"/>
      <c r="G119" s="322"/>
      <c r="H119" s="322"/>
      <c r="I119" s="322"/>
      <c r="J119" s="322"/>
    </row>
    <row r="120" spans="1:10">
      <c r="A120" s="322"/>
      <c r="B120" s="322"/>
      <c r="C120" s="322"/>
      <c r="D120" s="322"/>
      <c r="E120" s="322"/>
      <c r="F120" s="322"/>
      <c r="G120" s="322"/>
      <c r="H120" s="322"/>
      <c r="I120" s="322"/>
      <c r="J120" s="322"/>
    </row>
    <row r="121" spans="1:10">
      <c r="A121" s="322"/>
      <c r="B121" s="322"/>
      <c r="C121" s="322"/>
      <c r="D121" s="322"/>
      <c r="E121" s="322"/>
      <c r="F121" s="322"/>
      <c r="G121" s="322"/>
      <c r="H121" s="322"/>
      <c r="I121" s="322"/>
      <c r="J121" s="322"/>
    </row>
    <row r="122" spans="1:10">
      <c r="A122" s="322"/>
      <c r="B122" s="322"/>
      <c r="C122" s="322"/>
      <c r="D122" s="322"/>
      <c r="E122" s="322"/>
      <c r="F122" s="322"/>
      <c r="G122" s="322"/>
      <c r="H122" s="322"/>
      <c r="I122" s="322"/>
      <c r="J122" s="322"/>
    </row>
    <row r="123" spans="1:10">
      <c r="A123" s="322"/>
      <c r="B123" s="322"/>
      <c r="C123" s="322"/>
      <c r="D123" s="322"/>
      <c r="E123" s="322"/>
      <c r="F123" s="322"/>
      <c r="G123" s="322"/>
      <c r="H123" s="322"/>
      <c r="I123" s="322"/>
      <c r="J123" s="322"/>
    </row>
    <row r="124" spans="1:10">
      <c r="A124" s="322"/>
      <c r="B124" s="322"/>
      <c r="C124" s="322"/>
      <c r="D124" s="322"/>
      <c r="E124" s="322"/>
      <c r="F124" s="322"/>
      <c r="G124" s="322"/>
      <c r="H124" s="322"/>
      <c r="I124" s="322"/>
      <c r="J124" s="322"/>
    </row>
    <row r="125" spans="1:10">
      <c r="A125" s="322"/>
      <c r="B125" s="322"/>
      <c r="C125" s="322"/>
      <c r="D125" s="322"/>
      <c r="E125" s="322"/>
      <c r="F125" s="322"/>
      <c r="G125" s="322"/>
      <c r="H125" s="322"/>
      <c r="I125" s="322"/>
      <c r="J125" s="322"/>
    </row>
    <row r="126" spans="1:10">
      <c r="A126" s="322"/>
      <c r="B126" s="322"/>
      <c r="C126" s="322"/>
      <c r="D126" s="322"/>
      <c r="E126" s="322"/>
      <c r="F126" s="322"/>
      <c r="G126" s="322"/>
      <c r="H126" s="322"/>
      <c r="I126" s="322"/>
      <c r="J126" s="322"/>
    </row>
    <row r="127" spans="1:10">
      <c r="A127" s="322"/>
      <c r="B127" s="322"/>
      <c r="C127" s="322"/>
      <c r="D127" s="322"/>
      <c r="E127" s="322"/>
      <c r="F127" s="322"/>
      <c r="G127" s="322"/>
      <c r="H127" s="322"/>
      <c r="I127" s="322"/>
      <c r="J127" s="322"/>
    </row>
    <row r="128" spans="1:10">
      <c r="A128" s="322"/>
      <c r="B128" s="322"/>
      <c r="C128" s="322"/>
      <c r="D128" s="322"/>
      <c r="E128" s="322"/>
      <c r="F128" s="322"/>
      <c r="G128" s="322"/>
      <c r="H128" s="322"/>
      <c r="I128" s="322"/>
      <c r="J128" s="322"/>
    </row>
    <row r="129" spans="1:10">
      <c r="A129" s="322"/>
      <c r="B129" s="322"/>
      <c r="C129" s="322"/>
      <c r="D129" s="322"/>
      <c r="E129" s="322"/>
      <c r="F129" s="322"/>
      <c r="G129" s="322"/>
      <c r="H129" s="322"/>
      <c r="I129" s="322"/>
      <c r="J129" s="322"/>
    </row>
    <row r="130" spans="1:10">
      <c r="A130" s="322"/>
      <c r="B130" s="322"/>
      <c r="C130" s="322"/>
      <c r="D130" s="322"/>
      <c r="E130" s="322"/>
      <c r="F130" s="322"/>
      <c r="G130" s="322"/>
      <c r="H130" s="322"/>
      <c r="I130" s="322"/>
      <c r="J130" s="322"/>
    </row>
    <row r="131" spans="1:10">
      <c r="A131" s="322"/>
      <c r="B131" s="322"/>
      <c r="C131" s="322"/>
      <c r="D131" s="322"/>
      <c r="E131" s="322"/>
      <c r="F131" s="322"/>
      <c r="G131" s="322"/>
      <c r="H131" s="322"/>
      <c r="I131" s="322"/>
      <c r="J131" s="322"/>
    </row>
    <row r="132" spans="1:10">
      <c r="A132" s="322"/>
      <c r="B132" s="322"/>
      <c r="C132" s="322"/>
      <c r="D132" s="322"/>
      <c r="E132" s="322"/>
      <c r="F132" s="322"/>
      <c r="G132" s="322"/>
      <c r="H132" s="322"/>
      <c r="I132" s="322"/>
      <c r="J132" s="322"/>
    </row>
    <row r="133" spans="1:10">
      <c r="A133" s="322"/>
      <c r="B133" s="322"/>
      <c r="C133" s="322"/>
      <c r="D133" s="322"/>
      <c r="E133" s="322"/>
      <c r="F133" s="322"/>
      <c r="G133" s="322"/>
      <c r="H133" s="322"/>
      <c r="I133" s="322"/>
      <c r="J133" s="322"/>
    </row>
    <row r="134" spans="1:10">
      <c r="A134" s="322"/>
      <c r="B134" s="322"/>
      <c r="C134" s="322"/>
      <c r="D134" s="322"/>
      <c r="E134" s="322"/>
      <c r="F134" s="322"/>
      <c r="G134" s="322"/>
      <c r="H134" s="322"/>
      <c r="I134" s="322"/>
      <c r="J134" s="322"/>
    </row>
    <row r="135" spans="1:10">
      <c r="A135" s="322"/>
      <c r="B135" s="322"/>
      <c r="C135" s="322"/>
      <c r="D135" s="322"/>
      <c r="E135" s="322"/>
      <c r="F135" s="322"/>
      <c r="G135" s="322"/>
      <c r="H135" s="322"/>
      <c r="I135" s="322"/>
      <c r="J135" s="322"/>
    </row>
    <row r="136" spans="1:10">
      <c r="A136" s="322"/>
      <c r="B136" s="322"/>
      <c r="C136" s="322"/>
      <c r="D136" s="322"/>
      <c r="E136" s="322"/>
      <c r="F136" s="322"/>
      <c r="G136" s="322"/>
      <c r="H136" s="322"/>
      <c r="I136" s="322"/>
      <c r="J136" s="322"/>
    </row>
    <row r="137" spans="1:10">
      <c r="A137" s="322"/>
      <c r="B137" s="322"/>
      <c r="C137" s="322"/>
      <c r="D137" s="322"/>
      <c r="E137" s="322"/>
      <c r="F137" s="322"/>
      <c r="G137" s="322"/>
      <c r="H137" s="322"/>
      <c r="I137" s="322"/>
      <c r="J137" s="322"/>
    </row>
    <row r="138" spans="1:10">
      <c r="A138" s="322"/>
      <c r="B138" s="322"/>
      <c r="C138" s="322"/>
      <c r="D138" s="322"/>
      <c r="E138" s="322"/>
      <c r="F138" s="322"/>
      <c r="G138" s="322"/>
      <c r="H138" s="322"/>
      <c r="I138" s="322"/>
      <c r="J138" s="322"/>
    </row>
    <row r="139" spans="1:10">
      <c r="A139" s="322"/>
      <c r="B139" s="322"/>
      <c r="C139" s="322"/>
      <c r="D139" s="322"/>
      <c r="E139" s="322"/>
      <c r="F139" s="322"/>
      <c r="G139" s="322"/>
      <c r="H139" s="322"/>
      <c r="I139" s="322"/>
      <c r="J139" s="322"/>
    </row>
    <row r="140" spans="1:10">
      <c r="A140" s="322"/>
      <c r="B140" s="322"/>
      <c r="C140" s="322"/>
      <c r="D140" s="322"/>
      <c r="E140" s="322"/>
      <c r="F140" s="322"/>
      <c r="G140" s="322"/>
      <c r="H140" s="322"/>
      <c r="I140" s="322"/>
      <c r="J140" s="322"/>
    </row>
    <row r="141" spans="1:10">
      <c r="A141" s="322"/>
      <c r="B141" s="322"/>
      <c r="C141" s="322"/>
      <c r="D141" s="322"/>
      <c r="E141" s="322"/>
      <c r="F141" s="322"/>
      <c r="G141" s="322"/>
      <c r="H141" s="322"/>
      <c r="I141" s="322"/>
      <c r="J141" s="322"/>
    </row>
    <row r="142" spans="1:10">
      <c r="A142" s="322"/>
      <c r="B142" s="322"/>
      <c r="C142" s="322"/>
      <c r="D142" s="322"/>
      <c r="E142" s="322"/>
      <c r="F142" s="322"/>
      <c r="G142" s="322"/>
      <c r="H142" s="322"/>
      <c r="I142" s="322"/>
      <c r="J142" s="322"/>
    </row>
    <row r="143" spans="1:10">
      <c r="A143" s="322"/>
      <c r="B143" s="322"/>
      <c r="C143" s="322"/>
      <c r="D143" s="322"/>
      <c r="E143" s="322"/>
      <c r="F143" s="322"/>
      <c r="G143" s="322"/>
      <c r="H143" s="322"/>
      <c r="I143" s="322"/>
      <c r="J143" s="322"/>
    </row>
    <row r="144" spans="1:10">
      <c r="A144" s="322"/>
      <c r="B144" s="322"/>
      <c r="C144" s="322"/>
      <c r="D144" s="322"/>
      <c r="E144" s="322"/>
      <c r="F144" s="322"/>
      <c r="G144" s="322"/>
      <c r="H144" s="322"/>
      <c r="I144" s="322"/>
      <c r="J144" s="322"/>
    </row>
    <row r="145" spans="1:10">
      <c r="A145" s="322"/>
      <c r="B145" s="322"/>
      <c r="C145" s="322"/>
      <c r="D145" s="322"/>
      <c r="E145" s="322"/>
      <c r="F145" s="322"/>
      <c r="G145" s="322"/>
      <c r="H145" s="322"/>
      <c r="I145" s="322"/>
      <c r="J145" s="322"/>
    </row>
    <row r="146" spans="1:10">
      <c r="A146" s="322"/>
      <c r="B146" s="322"/>
      <c r="C146" s="322"/>
      <c r="D146" s="322"/>
      <c r="E146" s="322"/>
      <c r="F146" s="322"/>
      <c r="G146" s="322"/>
      <c r="H146" s="322"/>
      <c r="I146" s="322"/>
      <c r="J146" s="322"/>
    </row>
    <row r="147" spans="1:10">
      <c r="A147" s="322"/>
      <c r="B147" s="322"/>
      <c r="C147" s="322"/>
      <c r="D147" s="322"/>
      <c r="E147" s="322"/>
      <c r="F147" s="322"/>
      <c r="G147" s="322"/>
      <c r="H147" s="322"/>
      <c r="I147" s="322"/>
      <c r="J147" s="322"/>
    </row>
    <row r="148" spans="1:10">
      <c r="A148" s="322"/>
      <c r="B148" s="322"/>
      <c r="C148" s="322"/>
      <c r="D148" s="322"/>
      <c r="E148" s="322"/>
      <c r="F148" s="322"/>
      <c r="G148" s="322"/>
      <c r="H148" s="322"/>
      <c r="I148" s="322"/>
      <c r="J148" s="322"/>
    </row>
    <row r="149" spans="1:10">
      <c r="A149" s="322"/>
      <c r="B149" s="322"/>
      <c r="C149" s="322"/>
      <c r="D149" s="322"/>
      <c r="E149" s="322"/>
      <c r="F149" s="322"/>
      <c r="G149" s="322"/>
      <c r="H149" s="322"/>
      <c r="I149" s="322"/>
      <c r="J149" s="322"/>
    </row>
    <row r="150" spans="1:10">
      <c r="A150" s="322"/>
      <c r="B150" s="322"/>
      <c r="C150" s="322"/>
      <c r="D150" s="322"/>
      <c r="E150" s="322"/>
      <c r="F150" s="322"/>
      <c r="G150" s="322"/>
      <c r="H150" s="322"/>
      <c r="I150" s="322"/>
      <c r="J150" s="322"/>
    </row>
    <row r="151" spans="1:10">
      <c r="A151" s="322"/>
      <c r="B151" s="322"/>
      <c r="C151" s="322"/>
      <c r="D151" s="322"/>
      <c r="E151" s="322"/>
      <c r="F151" s="322"/>
      <c r="G151" s="322"/>
      <c r="H151" s="322"/>
      <c r="I151" s="322"/>
      <c r="J151" s="322"/>
    </row>
    <row r="152" spans="1:10">
      <c r="A152" s="322"/>
      <c r="B152" s="322"/>
      <c r="C152" s="322"/>
      <c r="D152" s="322"/>
      <c r="E152" s="322"/>
      <c r="F152" s="322"/>
      <c r="G152" s="322"/>
      <c r="H152" s="322"/>
      <c r="I152" s="322"/>
      <c r="J152" s="322"/>
    </row>
    <row r="153" spans="1:10">
      <c r="A153" s="322"/>
      <c r="B153" s="322"/>
      <c r="C153" s="322"/>
      <c r="D153" s="322"/>
      <c r="E153" s="322"/>
      <c r="F153" s="322"/>
      <c r="G153" s="322"/>
      <c r="H153" s="322"/>
      <c r="I153" s="322"/>
      <c r="J153" s="322"/>
    </row>
    <row r="154" spans="1:10">
      <c r="A154" s="322"/>
      <c r="B154" s="322"/>
      <c r="C154" s="322"/>
      <c r="D154" s="322"/>
      <c r="E154" s="322"/>
      <c r="F154" s="322"/>
      <c r="G154" s="322"/>
      <c r="H154" s="322"/>
      <c r="I154" s="322"/>
      <c r="J154" s="322"/>
    </row>
    <row r="155" spans="1:10">
      <c r="A155" s="322"/>
      <c r="B155" s="322"/>
      <c r="C155" s="322"/>
      <c r="D155" s="322"/>
      <c r="E155" s="322"/>
      <c r="F155" s="322"/>
      <c r="G155" s="322"/>
      <c r="H155" s="322"/>
      <c r="I155" s="322"/>
      <c r="J155" s="322"/>
    </row>
    <row r="156" spans="1:10">
      <c r="A156" s="322"/>
      <c r="B156" s="322"/>
      <c r="C156" s="322"/>
      <c r="D156" s="322"/>
      <c r="E156" s="322"/>
      <c r="F156" s="322"/>
      <c r="G156" s="322"/>
      <c r="H156" s="322"/>
      <c r="I156" s="322"/>
      <c r="J156" s="322"/>
    </row>
    <row r="157" spans="1:10">
      <c r="A157" s="322"/>
      <c r="B157" s="322"/>
      <c r="C157" s="322"/>
      <c r="D157" s="322"/>
      <c r="E157" s="322"/>
      <c r="F157" s="322"/>
      <c r="G157" s="322"/>
      <c r="H157" s="322"/>
      <c r="I157" s="322"/>
      <c r="J157" s="322"/>
    </row>
    <row r="158" spans="1:10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</row>
    <row r="159" spans="1:10">
      <c r="A159" s="322"/>
      <c r="B159" s="322"/>
      <c r="C159" s="322"/>
      <c r="D159" s="322"/>
      <c r="E159" s="322"/>
      <c r="F159" s="322"/>
      <c r="G159" s="322"/>
      <c r="H159" s="322"/>
      <c r="I159" s="322"/>
      <c r="J159" s="322"/>
    </row>
    <row r="160" spans="1:10">
      <c r="A160" s="322"/>
      <c r="B160" s="322"/>
      <c r="C160" s="322"/>
      <c r="D160" s="322"/>
      <c r="E160" s="322"/>
      <c r="F160" s="322"/>
      <c r="G160" s="322"/>
      <c r="H160" s="322"/>
      <c r="I160" s="322"/>
      <c r="J160" s="322"/>
    </row>
    <row r="161" spans="1:10">
      <c r="A161" s="322"/>
      <c r="B161" s="322"/>
      <c r="C161" s="322"/>
      <c r="D161" s="322"/>
      <c r="E161" s="322"/>
      <c r="F161" s="322"/>
      <c r="G161" s="322"/>
      <c r="H161" s="322"/>
      <c r="I161" s="322"/>
      <c r="J161" s="322"/>
    </row>
    <row r="162" spans="1:10">
      <c r="A162" s="322"/>
      <c r="B162" s="322"/>
      <c r="C162" s="322"/>
      <c r="D162" s="322"/>
      <c r="E162" s="322"/>
      <c r="F162" s="322"/>
      <c r="G162" s="322"/>
      <c r="H162" s="322"/>
      <c r="I162" s="322"/>
      <c r="J162" s="322"/>
    </row>
    <row r="163" spans="1:10">
      <c r="A163" s="322"/>
      <c r="B163" s="322"/>
      <c r="C163" s="322"/>
      <c r="D163" s="322"/>
      <c r="E163" s="322"/>
      <c r="F163" s="322"/>
      <c r="G163" s="322"/>
      <c r="H163" s="322"/>
      <c r="I163" s="322"/>
      <c r="J163" s="322"/>
    </row>
    <row r="164" spans="1:10">
      <c r="A164" s="322"/>
      <c r="B164" s="322"/>
      <c r="C164" s="322"/>
      <c r="D164" s="322"/>
      <c r="E164" s="322"/>
      <c r="F164" s="322"/>
      <c r="G164" s="322"/>
      <c r="H164" s="322"/>
      <c r="I164" s="322"/>
      <c r="J164" s="322"/>
    </row>
    <row r="165" spans="1:10">
      <c r="A165" s="322"/>
      <c r="B165" s="322"/>
      <c r="C165" s="322"/>
      <c r="D165" s="322"/>
      <c r="E165" s="322"/>
      <c r="F165" s="322"/>
      <c r="G165" s="322"/>
      <c r="H165" s="322"/>
      <c r="I165" s="322"/>
      <c r="J165" s="322"/>
    </row>
    <row r="166" spans="1:10">
      <c r="A166" s="322"/>
      <c r="B166" s="322"/>
      <c r="C166" s="322"/>
      <c r="D166" s="322"/>
      <c r="E166" s="322"/>
      <c r="F166" s="322"/>
      <c r="G166" s="322"/>
      <c r="H166" s="322"/>
      <c r="I166" s="322"/>
      <c r="J166" s="322"/>
    </row>
    <row r="167" spans="1:10">
      <c r="A167" s="322"/>
      <c r="B167" s="322"/>
      <c r="C167" s="322"/>
      <c r="D167" s="322"/>
      <c r="E167" s="322"/>
      <c r="F167" s="322"/>
      <c r="G167" s="322"/>
      <c r="H167" s="322"/>
      <c r="I167" s="322"/>
      <c r="J167" s="322"/>
    </row>
    <row r="168" spans="1:10">
      <c r="A168" s="322"/>
      <c r="B168" s="322"/>
      <c r="C168" s="322"/>
      <c r="D168" s="322"/>
      <c r="E168" s="322"/>
      <c r="F168" s="322"/>
      <c r="G168" s="322"/>
      <c r="H168" s="322"/>
      <c r="I168" s="322"/>
      <c r="J168" s="322"/>
    </row>
    <row r="169" spans="1:10">
      <c r="A169" s="322"/>
      <c r="B169" s="322"/>
      <c r="C169" s="322"/>
      <c r="D169" s="322"/>
      <c r="E169" s="322"/>
      <c r="F169" s="322"/>
      <c r="G169" s="322"/>
      <c r="H169" s="322"/>
      <c r="I169" s="322"/>
      <c r="J169" s="322"/>
    </row>
    <row r="170" spans="1:10">
      <c r="A170" s="322"/>
      <c r="B170" s="322"/>
      <c r="C170" s="322"/>
      <c r="D170" s="322"/>
      <c r="E170" s="322"/>
      <c r="F170" s="322"/>
      <c r="G170" s="322"/>
      <c r="H170" s="322"/>
      <c r="I170" s="322"/>
      <c r="J170" s="322"/>
    </row>
    <row r="171" spans="1:10">
      <c r="A171" s="322"/>
      <c r="B171" s="322"/>
      <c r="C171" s="322"/>
      <c r="D171" s="322"/>
      <c r="E171" s="322"/>
      <c r="F171" s="322"/>
      <c r="G171" s="322"/>
      <c r="H171" s="322"/>
      <c r="I171" s="322"/>
      <c r="J171" s="322"/>
    </row>
    <row r="172" spans="1:10">
      <c r="A172" s="322"/>
      <c r="B172" s="322"/>
      <c r="C172" s="322"/>
      <c r="D172" s="322"/>
      <c r="E172" s="322"/>
      <c r="F172" s="322"/>
      <c r="G172" s="322"/>
      <c r="H172" s="322"/>
      <c r="I172" s="322"/>
      <c r="J172" s="322"/>
    </row>
    <row r="173" spans="1:10">
      <c r="A173" s="322"/>
      <c r="B173" s="322"/>
      <c r="C173" s="322"/>
      <c r="D173" s="322"/>
      <c r="E173" s="322"/>
      <c r="F173" s="322"/>
      <c r="G173" s="322"/>
      <c r="H173" s="322"/>
      <c r="I173" s="322"/>
      <c r="J173" s="322"/>
    </row>
    <row r="174" spans="1:10">
      <c r="A174" s="322"/>
      <c r="B174" s="322"/>
      <c r="C174" s="322"/>
      <c r="D174" s="322"/>
      <c r="E174" s="322"/>
      <c r="F174" s="322"/>
      <c r="G174" s="322"/>
      <c r="H174" s="322"/>
      <c r="I174" s="322"/>
      <c r="J174" s="322"/>
    </row>
    <row r="175" spans="1:10">
      <c r="A175" s="322"/>
      <c r="B175" s="322"/>
      <c r="C175" s="322"/>
      <c r="D175" s="322"/>
      <c r="E175" s="322"/>
      <c r="F175" s="322"/>
      <c r="G175" s="322"/>
      <c r="H175" s="322"/>
      <c r="I175" s="322"/>
      <c r="J175" s="322"/>
    </row>
    <row r="176" spans="1:10">
      <c r="A176" s="322"/>
      <c r="B176" s="322"/>
      <c r="C176" s="322"/>
      <c r="D176" s="322"/>
      <c r="E176" s="322"/>
      <c r="F176" s="322"/>
      <c r="G176" s="322"/>
      <c r="H176" s="322"/>
      <c r="I176" s="322"/>
      <c r="J176" s="322"/>
    </row>
    <row r="177" spans="1:10">
      <c r="A177" s="322"/>
      <c r="B177" s="322"/>
      <c r="C177" s="322"/>
      <c r="D177" s="322"/>
      <c r="E177" s="322"/>
      <c r="F177" s="322"/>
      <c r="G177" s="322"/>
      <c r="H177" s="322"/>
      <c r="I177" s="322"/>
      <c r="J177" s="322"/>
    </row>
    <row r="178" spans="1:10">
      <c r="A178" s="322"/>
      <c r="B178" s="322"/>
      <c r="C178" s="322"/>
      <c r="D178" s="322"/>
      <c r="E178" s="322"/>
      <c r="F178" s="322"/>
      <c r="G178" s="322"/>
      <c r="H178" s="322"/>
      <c r="I178" s="322"/>
      <c r="J178" s="322"/>
    </row>
    <row r="179" spans="1:10">
      <c r="A179" s="322"/>
      <c r="B179" s="322"/>
      <c r="C179" s="322"/>
      <c r="D179" s="322"/>
      <c r="E179" s="322"/>
      <c r="F179" s="322"/>
      <c r="G179" s="322"/>
      <c r="H179" s="322"/>
      <c r="I179" s="322"/>
      <c r="J179" s="322"/>
    </row>
    <row r="180" spans="1:10">
      <c r="A180" s="322"/>
      <c r="B180" s="322"/>
      <c r="C180" s="322"/>
      <c r="D180" s="322"/>
      <c r="E180" s="322"/>
      <c r="F180" s="322"/>
      <c r="G180" s="322"/>
      <c r="H180" s="322"/>
      <c r="I180" s="322"/>
      <c r="J180" s="322"/>
    </row>
    <row r="181" spans="1:10">
      <c r="A181" s="322"/>
      <c r="B181" s="322"/>
      <c r="C181" s="322"/>
      <c r="D181" s="322"/>
      <c r="E181" s="322"/>
      <c r="F181" s="322"/>
      <c r="G181" s="322"/>
      <c r="H181" s="322"/>
      <c r="I181" s="322"/>
      <c r="J181" s="322"/>
    </row>
    <row r="182" spans="1:10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</row>
    <row r="183" spans="1:10">
      <c r="A183" s="322"/>
      <c r="B183" s="322"/>
      <c r="C183" s="322"/>
      <c r="D183" s="322"/>
      <c r="E183" s="322"/>
      <c r="F183" s="322"/>
      <c r="G183" s="322"/>
      <c r="H183" s="322"/>
      <c r="I183" s="322"/>
      <c r="J183" s="322"/>
    </row>
  </sheetData>
  <mergeCells count="3">
    <mergeCell ref="A46:I46"/>
    <mergeCell ref="A3:J3"/>
    <mergeCell ref="A1:J1"/>
  </mergeCells>
  <phoneticPr fontId="9" type="noConversion"/>
  <printOptions horizontalCentered="1"/>
  <pageMargins left="0.9" right="0.4" top="1" bottom="0.2" header="0" footer="0"/>
  <pageSetup orientation="portrait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171"/>
  <sheetViews>
    <sheetView workbookViewId="0">
      <selection activeCell="G75" sqref="G75"/>
    </sheetView>
  </sheetViews>
  <sheetFormatPr defaultColWidth="9.6640625" defaultRowHeight="15"/>
  <cols>
    <col min="1" max="1" width="19.88671875" style="1" customWidth="1"/>
    <col min="2" max="2" width="12.21875" style="1" customWidth="1"/>
    <col min="3" max="3" width="13.109375" style="1" bestFit="1" customWidth="1"/>
    <col min="4" max="4" width="14" style="1" customWidth="1"/>
    <col min="5" max="5" width="11.88671875" style="1" customWidth="1"/>
    <col min="6" max="16384" width="9.6640625" style="1"/>
  </cols>
  <sheetData>
    <row r="1" spans="1:6" ht="14.1" customHeight="1">
      <c r="A1" s="55" t="s">
        <v>802</v>
      </c>
      <c r="B1" s="2"/>
      <c r="C1" s="2"/>
      <c r="D1" s="2"/>
      <c r="E1" s="2"/>
    </row>
    <row r="2" spans="1:6" ht="14.1" customHeight="1">
      <c r="A2" s="98"/>
      <c r="B2" s="2"/>
      <c r="C2" s="2"/>
      <c r="D2" s="2"/>
      <c r="E2" s="2"/>
    </row>
    <row r="3" spans="1:6" ht="14.1" customHeight="1">
      <c r="A3" s="321" t="s">
        <v>170</v>
      </c>
      <c r="B3" s="2"/>
      <c r="C3" s="2"/>
      <c r="D3" s="2"/>
      <c r="E3" s="2"/>
    </row>
    <row r="4" spans="1:6" ht="10.9" customHeight="1">
      <c r="A4" s="4"/>
      <c r="B4" s="4"/>
      <c r="C4" s="4"/>
      <c r="D4" s="4"/>
      <c r="E4" s="4"/>
    </row>
    <row r="5" spans="1:6" ht="16.899999999999999" customHeight="1">
      <c r="A5" s="918" t="s">
        <v>400</v>
      </c>
      <c r="B5" s="919"/>
      <c r="C5" s="919"/>
      <c r="D5" s="919"/>
      <c r="E5" s="919"/>
    </row>
    <row r="6" spans="1:6" ht="7.15" customHeight="1">
      <c r="A6" s="322"/>
      <c r="B6" s="322"/>
      <c r="C6" s="322"/>
      <c r="D6" s="322"/>
      <c r="E6" s="322"/>
    </row>
    <row r="7" spans="1:6" ht="12" customHeight="1">
      <c r="A7" s="322" t="s">
        <v>204</v>
      </c>
      <c r="B7" s="322"/>
      <c r="C7" s="322"/>
      <c r="D7" s="322"/>
      <c r="E7" s="322"/>
    </row>
    <row r="8" spans="1:6" ht="9" customHeight="1">
      <c r="A8" s="918"/>
      <c r="B8" s="918"/>
      <c r="C8" s="918"/>
      <c r="D8" s="918"/>
      <c r="E8" s="918"/>
      <c r="F8" s="37"/>
    </row>
    <row r="9" spans="1:6" ht="14.1" customHeight="1">
      <c r="A9" s="321" t="s">
        <v>171</v>
      </c>
      <c r="B9" s="322"/>
      <c r="C9" s="908" t="s">
        <v>206</v>
      </c>
      <c r="D9" s="322"/>
      <c r="E9" s="908" t="s">
        <v>180</v>
      </c>
    </row>
    <row r="10" spans="1:6" ht="14.1" customHeight="1">
      <c r="A10" s="321" t="s">
        <v>172</v>
      </c>
      <c r="B10" s="322"/>
      <c r="C10" s="908" t="s">
        <v>210</v>
      </c>
      <c r="D10" s="322"/>
      <c r="E10" s="908" t="s">
        <v>186</v>
      </c>
    </row>
    <row r="11" spans="1:6" ht="14.1" customHeight="1">
      <c r="A11" s="326" t="s">
        <v>173</v>
      </c>
      <c r="B11" s="322"/>
      <c r="C11" s="327" t="s">
        <v>181</v>
      </c>
      <c r="D11" s="322"/>
      <c r="E11" s="327" t="s">
        <v>194</v>
      </c>
    </row>
    <row r="12" spans="1:6" ht="7.9" customHeight="1">
      <c r="A12" s="330"/>
      <c r="B12" s="322"/>
      <c r="C12" s="322"/>
      <c r="D12" s="322"/>
      <c r="E12" s="322"/>
    </row>
    <row r="13" spans="1:6" ht="14.1" customHeight="1">
      <c r="A13" s="330" t="s">
        <v>252</v>
      </c>
      <c r="B13" s="322"/>
      <c r="C13" s="322"/>
      <c r="D13" s="322"/>
      <c r="E13" s="322"/>
    </row>
    <row r="14" spans="1:6" ht="14.1" customHeight="1">
      <c r="A14" s="322" t="s">
        <v>320</v>
      </c>
      <c r="B14" s="322"/>
      <c r="C14" s="524">
        <f>+Alloc!K398</f>
        <v>7237254</v>
      </c>
      <c r="D14" s="322"/>
      <c r="E14" s="382">
        <f>+Alloc!K399</f>
        <v>0.21410000000000001</v>
      </c>
    </row>
    <row r="15" spans="1:6" ht="14.1" customHeight="1">
      <c r="A15" s="322" t="s">
        <v>321</v>
      </c>
      <c r="B15" s="322"/>
      <c r="C15" s="348">
        <f>+Alloc!M398</f>
        <v>3993720</v>
      </c>
      <c r="D15" s="322"/>
      <c r="E15" s="382">
        <f>+Alloc!M399</f>
        <v>0.1181</v>
      </c>
    </row>
    <row r="16" spans="1:6" ht="13.5" customHeight="1">
      <c r="A16" s="322" t="s">
        <v>322</v>
      </c>
      <c r="B16" s="322"/>
      <c r="C16" s="348">
        <f>+Alloc!O398</f>
        <v>1084912</v>
      </c>
      <c r="D16" s="322"/>
      <c r="E16" s="382">
        <f>+Alloc!O399</f>
        <v>3.2099999999999997E-2</v>
      </c>
    </row>
    <row r="17" spans="1:5" ht="12" customHeight="1">
      <c r="A17" s="322" t="s">
        <v>323</v>
      </c>
      <c r="B17" s="322"/>
      <c r="C17" s="348">
        <f>+Alloc!Q398</f>
        <v>1073494</v>
      </c>
      <c r="D17" s="322"/>
      <c r="E17" s="382">
        <f>+Alloc!Q399</f>
        <v>3.1800000000000002E-2</v>
      </c>
    </row>
    <row r="18" spans="1:5" ht="14.1" customHeight="1">
      <c r="A18" s="322" t="s">
        <v>598</v>
      </c>
      <c r="B18" s="322"/>
      <c r="C18" s="348">
        <f>+Alloc!S398</f>
        <v>2302595</v>
      </c>
      <c r="D18" s="322"/>
      <c r="E18" s="382">
        <f>+Alloc!S399</f>
        <v>6.8099999999999994E-2</v>
      </c>
    </row>
    <row r="19" spans="1:5" ht="14.1" customHeight="1">
      <c r="A19" s="322" t="s">
        <v>425</v>
      </c>
      <c r="B19" s="322"/>
      <c r="C19" s="348">
        <f>+Alloc!U398</f>
        <v>750406</v>
      </c>
      <c r="D19" s="322"/>
      <c r="E19" s="382">
        <f>+Alloc!U399</f>
        <v>2.2200000000000001E-2</v>
      </c>
    </row>
    <row r="20" spans="1:5" ht="20.25" customHeight="1">
      <c r="A20" s="330" t="s">
        <v>253</v>
      </c>
      <c r="B20" s="322"/>
      <c r="C20" s="348"/>
      <c r="D20" s="333"/>
      <c r="E20" s="911"/>
    </row>
    <row r="21" spans="1:5" ht="14.1" customHeight="1">
      <c r="A21" s="322" t="s">
        <v>320</v>
      </c>
      <c r="B21" s="322"/>
      <c r="C21" s="348">
        <f>+Alloc!W398</f>
        <v>11798314</v>
      </c>
      <c r="D21" s="333"/>
      <c r="E21" s="911">
        <f>+Alloc!W399</f>
        <v>0.34889999999999999</v>
      </c>
    </row>
    <row r="22" spans="1:5" ht="14.1" customHeight="1">
      <c r="A22" s="322" t="s">
        <v>321</v>
      </c>
      <c r="B22" s="322"/>
      <c r="C22" s="348">
        <f>+Alloc!Y398</f>
        <v>3956371</v>
      </c>
      <c r="D22" s="333"/>
      <c r="E22" s="911">
        <f>+Alloc!Y399</f>
        <v>0.11700000000000001</v>
      </c>
    </row>
    <row r="23" spans="1:5" ht="14.1" customHeight="1">
      <c r="A23" s="322" t="s">
        <v>322</v>
      </c>
      <c r="B23" s="322"/>
      <c r="C23" s="348">
        <f>+Alloc!AA398</f>
        <v>752784</v>
      </c>
      <c r="D23" s="333"/>
      <c r="E23" s="911">
        <f>+Alloc!AA399</f>
        <v>2.23E-2</v>
      </c>
    </row>
    <row r="24" spans="1:5" ht="14.1" customHeight="1">
      <c r="A24" s="322" t="s">
        <v>323</v>
      </c>
      <c r="B24" s="322"/>
      <c r="C24" s="348">
        <f>+Alloc!AC398</f>
        <v>483135</v>
      </c>
      <c r="D24" s="333"/>
      <c r="E24" s="911">
        <f>+Alloc!AC399</f>
        <v>1.43E-2</v>
      </c>
    </row>
    <row r="25" spans="1:5" ht="14.1" customHeight="1">
      <c r="A25" s="322" t="s">
        <v>598</v>
      </c>
      <c r="B25" s="322"/>
      <c r="C25" s="348">
        <f>+Alloc!AE398</f>
        <v>93112</v>
      </c>
      <c r="D25" s="333"/>
      <c r="E25" s="911">
        <f>+Alloc!AE399</f>
        <v>2.8E-3</v>
      </c>
    </row>
    <row r="26" spans="1:5">
      <c r="A26" s="322" t="s">
        <v>425</v>
      </c>
      <c r="B26" s="322"/>
      <c r="C26" s="359">
        <f>+Alloc!AG398</f>
        <v>280925</v>
      </c>
      <c r="D26" s="333"/>
      <c r="E26" s="471">
        <f>+Alloc!AG399</f>
        <v>8.3000000000000001E-3</v>
      </c>
    </row>
    <row r="27" spans="1:5" ht="15.6" customHeight="1">
      <c r="A27" s="322" t="s">
        <v>176</v>
      </c>
      <c r="B27" s="322"/>
      <c r="C27" s="524">
        <f>SUM(C14:C26)</f>
        <v>33807022</v>
      </c>
      <c r="D27" s="322"/>
      <c r="E27" s="382">
        <f>SUM(E14:E26)</f>
        <v>0.99999999999999989</v>
      </c>
    </row>
    <row r="28" spans="1:5" ht="14.1" customHeight="1" thickTop="1">
      <c r="A28" s="322"/>
      <c r="B28" s="322"/>
      <c r="C28" s="341"/>
      <c r="D28" s="920"/>
      <c r="E28" s="341"/>
    </row>
    <row r="29" spans="1:5" ht="26.25" customHeight="1">
      <c r="A29" s="918" t="s">
        <v>401</v>
      </c>
      <c r="B29" s="919"/>
      <c r="C29" s="919"/>
      <c r="D29" s="919"/>
      <c r="E29" s="919"/>
    </row>
    <row r="30" spans="1:5" ht="12" customHeight="1">
      <c r="A30" s="322"/>
      <c r="B30" s="322"/>
      <c r="C30" s="322"/>
      <c r="D30" s="322"/>
      <c r="E30" s="322"/>
    </row>
    <row r="31" spans="1:5" ht="12.75" customHeight="1">
      <c r="A31" s="322" t="s">
        <v>402</v>
      </c>
      <c r="B31" s="322"/>
      <c r="C31" s="322"/>
      <c r="D31" s="322"/>
      <c r="E31" s="322"/>
    </row>
    <row r="32" spans="1:5" ht="9" customHeight="1">
      <c r="A32" s="918"/>
      <c r="B32" s="918"/>
      <c r="C32" s="918"/>
      <c r="D32" s="918"/>
      <c r="E32" s="918"/>
    </row>
    <row r="33" spans="1:5" ht="12.75" customHeight="1">
      <c r="A33" s="321" t="s">
        <v>171</v>
      </c>
      <c r="B33" s="322"/>
      <c r="C33" s="908" t="s">
        <v>209</v>
      </c>
      <c r="D33" s="322"/>
      <c r="E33" s="908" t="s">
        <v>180</v>
      </c>
    </row>
    <row r="34" spans="1:5" ht="14.1" customHeight="1">
      <c r="A34" s="321" t="s">
        <v>172</v>
      </c>
      <c r="B34" s="322"/>
      <c r="C34" s="908" t="s">
        <v>210</v>
      </c>
      <c r="D34" s="322"/>
      <c r="E34" s="908" t="s">
        <v>186</v>
      </c>
    </row>
    <row r="35" spans="1:5" ht="14.1" customHeight="1">
      <c r="A35" s="326" t="s">
        <v>173</v>
      </c>
      <c r="B35" s="322"/>
      <c r="C35" s="327" t="s">
        <v>181</v>
      </c>
      <c r="D35" s="322"/>
      <c r="E35" s="327" t="s">
        <v>194</v>
      </c>
    </row>
    <row r="36" spans="1:5" ht="14.1" customHeight="1">
      <c r="A36" s="330"/>
      <c r="B36" s="322"/>
      <c r="C36" s="322"/>
      <c r="D36" s="322"/>
      <c r="E36" s="322"/>
    </row>
    <row r="37" spans="1:5" ht="14.1" customHeight="1">
      <c r="A37" s="330" t="s">
        <v>252</v>
      </c>
      <c r="B37" s="322"/>
      <c r="C37" s="322"/>
      <c r="D37" s="322"/>
      <c r="E37" s="322"/>
    </row>
    <row r="38" spans="1:5" ht="14.1" customHeight="1">
      <c r="A38" s="322" t="s">
        <v>320</v>
      </c>
      <c r="B38" s="322"/>
      <c r="C38" s="524">
        <f>+Alloc!K400</f>
        <v>8997587</v>
      </c>
      <c r="D38" s="322"/>
      <c r="E38" s="382">
        <f>+Alloc!K401</f>
        <v>0.33660000000000001</v>
      </c>
    </row>
    <row r="39" spans="1:5" ht="14.1" customHeight="1">
      <c r="A39" s="322" t="s">
        <v>321</v>
      </c>
      <c r="B39" s="322"/>
      <c r="C39" s="348">
        <f>+Alloc!M400</f>
        <v>4963805</v>
      </c>
      <c r="D39" s="322"/>
      <c r="E39" s="382">
        <f>+Alloc!M401</f>
        <v>0.1857</v>
      </c>
    </row>
    <row r="40" spans="1:5" ht="14.1" customHeight="1">
      <c r="A40" s="322" t="s">
        <v>322</v>
      </c>
      <c r="B40" s="322"/>
      <c r="C40" s="348">
        <f>+Alloc!O400</f>
        <v>1346871</v>
      </c>
      <c r="D40" s="322"/>
      <c r="E40" s="382">
        <f>+Alloc!O401</f>
        <v>5.04E-2</v>
      </c>
    </row>
    <row r="41" spans="1:5" ht="14.1" customHeight="1">
      <c r="A41" s="322" t="s">
        <v>323</v>
      </c>
      <c r="B41" s="322"/>
      <c r="C41" s="348">
        <f>+Alloc!Q400</f>
        <v>1327560</v>
      </c>
      <c r="D41" s="322"/>
      <c r="E41" s="382">
        <f>+Alloc!Q401</f>
        <v>4.9700000000000001E-2</v>
      </c>
    </row>
    <row r="42" spans="1:5" ht="14.1" customHeight="1">
      <c r="A42" s="322" t="s">
        <v>598</v>
      </c>
      <c r="B42" s="322"/>
      <c r="C42" s="348">
        <f>+Alloc!S400</f>
        <v>1755549</v>
      </c>
      <c r="D42" s="322"/>
      <c r="E42" s="382">
        <f>+Alloc!S401</f>
        <v>6.5699999999999995E-2</v>
      </c>
    </row>
    <row r="43" spans="1:5" ht="14.1" customHeight="1">
      <c r="A43" s="322" t="s">
        <v>425</v>
      </c>
      <c r="B43" s="322"/>
      <c r="C43" s="348">
        <f>+Alloc!U400</f>
        <v>701246</v>
      </c>
      <c r="D43" s="322"/>
      <c r="E43" s="382">
        <f>+Alloc!U401</f>
        <v>2.6200000000000001E-2</v>
      </c>
    </row>
    <row r="44" spans="1:5" ht="16.5" customHeight="1">
      <c r="A44" s="330" t="s">
        <v>253</v>
      </c>
      <c r="B44" s="322"/>
      <c r="C44" s="348"/>
      <c r="D44" s="333"/>
      <c r="E44" s="911"/>
    </row>
    <row r="45" spans="1:5" ht="14.1" customHeight="1">
      <c r="A45" s="322" t="s">
        <v>320</v>
      </c>
      <c r="B45" s="322"/>
      <c r="C45" s="348">
        <f>+Alloc!W400</f>
        <v>5219194</v>
      </c>
      <c r="D45" s="333"/>
      <c r="E45" s="911">
        <f>+Alloc!W401</f>
        <v>0.19539999999999999</v>
      </c>
    </row>
    <row r="46" spans="1:5" ht="14.1" customHeight="1">
      <c r="A46" s="322" t="s">
        <v>321</v>
      </c>
      <c r="B46" s="322"/>
      <c r="C46" s="348">
        <f>+Alloc!Y400</f>
        <v>1495047</v>
      </c>
      <c r="D46" s="333"/>
      <c r="E46" s="911">
        <f>+Alloc!Y401</f>
        <v>5.5899999999999998E-2</v>
      </c>
    </row>
    <row r="47" spans="1:5" ht="14.1" customHeight="1">
      <c r="A47" s="322" t="s">
        <v>322</v>
      </c>
      <c r="B47" s="322"/>
      <c r="C47" s="348">
        <f>+Alloc!AA400</f>
        <v>430921</v>
      </c>
      <c r="D47" s="333"/>
      <c r="E47" s="911">
        <f>+Alloc!AA401</f>
        <v>1.61E-2</v>
      </c>
    </row>
    <row r="48" spans="1:5" ht="14.1" customHeight="1">
      <c r="A48" s="322" t="s">
        <v>323</v>
      </c>
      <c r="B48" s="322"/>
      <c r="C48" s="348">
        <f>+Alloc!AC400</f>
        <v>274432</v>
      </c>
      <c r="D48" s="333"/>
      <c r="E48" s="911">
        <f>+Alloc!AC401</f>
        <v>1.03E-2</v>
      </c>
    </row>
    <row r="49" spans="1:5" ht="14.1" customHeight="1">
      <c r="A49" s="322" t="s">
        <v>598</v>
      </c>
      <c r="B49" s="322"/>
      <c r="C49" s="348">
        <f>+Alloc!AE400</f>
        <v>53463</v>
      </c>
      <c r="D49" s="333"/>
      <c r="E49" s="911">
        <f>+Alloc!AE401</f>
        <v>2E-3</v>
      </c>
    </row>
    <row r="50" spans="1:5" ht="14.1" customHeight="1">
      <c r="A50" s="322" t="s">
        <v>425</v>
      </c>
      <c r="B50" s="322"/>
      <c r="C50" s="359">
        <f>+Alloc!AG400</f>
        <v>161246</v>
      </c>
      <c r="D50" s="333"/>
      <c r="E50" s="471">
        <f>+Alloc!AG401</f>
        <v>6.0000000000000001E-3</v>
      </c>
    </row>
    <row r="51" spans="1:5" ht="16.149999999999999" customHeight="1" thickBot="1">
      <c r="A51" s="322" t="s">
        <v>176</v>
      </c>
      <c r="B51" s="322"/>
      <c r="C51" s="921">
        <f>SUM(C38:C50)</f>
        <v>26726921</v>
      </c>
      <c r="D51" s="322"/>
      <c r="E51" s="922">
        <f>SUM(E38:E50)</f>
        <v>0.99999999999999989</v>
      </c>
    </row>
    <row r="52" spans="1:5" ht="23.45" customHeight="1" thickTop="1">
      <c r="A52" s="923" t="s">
        <v>802</v>
      </c>
      <c r="B52" s="321"/>
      <c r="C52" s="321"/>
      <c r="D52" s="321"/>
      <c r="E52" s="321"/>
    </row>
    <row r="53" spans="1:5" ht="14.1" customHeight="1">
      <c r="A53" s="924"/>
      <c r="B53" s="321"/>
      <c r="C53" s="321"/>
      <c r="D53" s="321"/>
      <c r="E53" s="321"/>
    </row>
    <row r="54" spans="1:5" ht="14.1" customHeight="1">
      <c r="A54" s="321" t="s">
        <v>170</v>
      </c>
      <c r="B54" s="321"/>
      <c r="C54" s="321"/>
      <c r="D54" s="321"/>
      <c r="E54" s="321"/>
    </row>
    <row r="55" spans="1:5" ht="14.1" customHeight="1">
      <c r="A55" s="322"/>
      <c r="B55" s="322"/>
      <c r="C55" s="322"/>
      <c r="D55" s="322"/>
      <c r="E55" s="322"/>
    </row>
    <row r="56" spans="1:5" ht="14.25" customHeight="1">
      <c r="A56" s="322" t="s">
        <v>448</v>
      </c>
      <c r="B56" s="322"/>
      <c r="C56" s="322"/>
      <c r="D56" s="920"/>
      <c r="E56" s="322"/>
    </row>
    <row r="57" spans="1:5" ht="8.4499999999999993" customHeight="1">
      <c r="A57" s="322"/>
      <c r="B57" s="322"/>
      <c r="C57" s="322"/>
      <c r="D57" s="920"/>
      <c r="E57" s="322"/>
    </row>
    <row r="58" spans="1:5" ht="14.1" customHeight="1">
      <c r="A58" s="322" t="s">
        <v>285</v>
      </c>
      <c r="B58" s="322"/>
      <c r="C58" s="322"/>
      <c r="D58" s="322"/>
      <c r="E58" s="322"/>
    </row>
    <row r="59" spans="1:5" ht="9" customHeight="1">
      <c r="A59" s="351"/>
      <c r="B59" s="322"/>
      <c r="C59" s="322"/>
      <c r="D59" s="322"/>
      <c r="E59" s="322"/>
    </row>
    <row r="60" spans="1:5" ht="14.1" customHeight="1">
      <c r="A60" s="322"/>
      <c r="B60" s="322"/>
      <c r="C60" s="908" t="s">
        <v>208</v>
      </c>
      <c r="D60" s="322"/>
      <c r="E60" s="322"/>
    </row>
    <row r="61" spans="1:5" ht="14.1" customHeight="1">
      <c r="A61" s="321" t="s">
        <v>171</v>
      </c>
      <c r="B61" s="322"/>
      <c r="C61" s="908" t="s">
        <v>209</v>
      </c>
      <c r="D61" s="322"/>
      <c r="E61" s="908" t="s">
        <v>180</v>
      </c>
    </row>
    <row r="62" spans="1:5" ht="14.1" customHeight="1">
      <c r="A62" s="321" t="s">
        <v>172</v>
      </c>
      <c r="B62" s="322"/>
      <c r="C62" s="908" t="s">
        <v>210</v>
      </c>
      <c r="D62" s="322"/>
      <c r="E62" s="908" t="s">
        <v>186</v>
      </c>
    </row>
    <row r="63" spans="1:5" ht="12" customHeight="1">
      <c r="A63" s="326" t="s">
        <v>173</v>
      </c>
      <c r="B63" s="322"/>
      <c r="C63" s="327" t="s">
        <v>181</v>
      </c>
      <c r="D63" s="322"/>
      <c r="E63" s="327" t="s">
        <v>194</v>
      </c>
    </row>
    <row r="64" spans="1:5" ht="19.149999999999999" customHeight="1">
      <c r="A64" s="330" t="s">
        <v>252</v>
      </c>
      <c r="B64" s="322"/>
      <c r="C64" s="322"/>
      <c r="D64" s="322"/>
      <c r="E64" s="322"/>
    </row>
    <row r="65" spans="1:5" ht="12.75" customHeight="1">
      <c r="A65" s="322" t="s">
        <v>320</v>
      </c>
      <c r="B65" s="322"/>
      <c r="C65" s="524">
        <f>+Alloc!K402</f>
        <v>38686683.987339482</v>
      </c>
      <c r="D65" s="322"/>
      <c r="E65" s="382">
        <f>+Alloc!K403</f>
        <v>0.29530000000000001</v>
      </c>
    </row>
    <row r="66" spans="1:5" ht="12" customHeight="1">
      <c r="A66" s="322" t="s">
        <v>321</v>
      </c>
      <c r="B66" s="322"/>
      <c r="C66" s="348">
        <f>+Alloc!M402</f>
        <v>12946267.228214499</v>
      </c>
      <c r="D66" s="322"/>
      <c r="E66" s="382">
        <f>+Alloc!M403</f>
        <v>9.8799999999999999E-2</v>
      </c>
    </row>
    <row r="67" spans="1:5" ht="14.1" customHeight="1">
      <c r="A67" s="322" t="s">
        <v>322</v>
      </c>
      <c r="B67" s="322"/>
      <c r="C67" s="348">
        <f>+Alloc!O402</f>
        <v>3024272.2038211753</v>
      </c>
      <c r="D67" s="322"/>
      <c r="E67" s="382">
        <f>+Alloc!O403</f>
        <v>2.3099999999999999E-2</v>
      </c>
    </row>
    <row r="68" spans="1:5" ht="14.1" customHeight="1">
      <c r="A68" s="322" t="s">
        <v>323</v>
      </c>
      <c r="B68" s="322"/>
      <c r="C68" s="348">
        <f>+Alloc!Q402</f>
        <v>2998149.1852987455</v>
      </c>
      <c r="D68" s="322"/>
      <c r="E68" s="382">
        <f>+Alloc!Q403</f>
        <v>2.29E-2</v>
      </c>
    </row>
    <row r="69" spans="1:5" ht="14.1" customHeight="1">
      <c r="A69" s="322" t="s">
        <v>598</v>
      </c>
      <c r="B69" s="322"/>
      <c r="C69" s="348">
        <f>+Alloc!S402</f>
        <v>5180754</v>
      </c>
      <c r="D69" s="322"/>
      <c r="E69" s="382">
        <f>+Alloc!S403</f>
        <v>3.95E-2</v>
      </c>
    </row>
    <row r="70" spans="1:5" ht="14.1" customHeight="1">
      <c r="A70" s="322" t="s">
        <v>425</v>
      </c>
      <c r="B70" s="322"/>
      <c r="C70" s="348">
        <f>+Alloc!U402</f>
        <v>1832130</v>
      </c>
      <c r="D70" s="322"/>
      <c r="E70" s="382">
        <f>+Alloc!U403</f>
        <v>1.4E-2</v>
      </c>
    </row>
    <row r="71" spans="1:5" ht="18" customHeight="1">
      <c r="A71" s="330" t="s">
        <v>253</v>
      </c>
      <c r="B71" s="322"/>
      <c r="C71" s="348"/>
      <c r="D71" s="322"/>
      <c r="E71" s="911"/>
    </row>
    <row r="72" spans="1:5" ht="14.1" customHeight="1">
      <c r="A72" s="322" t="s">
        <v>320</v>
      </c>
      <c r="B72" s="322"/>
      <c r="C72" s="348">
        <f>+Alloc!W402</f>
        <v>52847866.655042812</v>
      </c>
      <c r="D72" s="322"/>
      <c r="E72" s="911">
        <f>+Alloc!W403</f>
        <v>0.4032</v>
      </c>
    </row>
    <row r="73" spans="1:5" ht="14.1" customHeight="1">
      <c r="A73" s="322" t="s">
        <v>321</v>
      </c>
      <c r="B73" s="322"/>
      <c r="C73" s="348">
        <f>+Alloc!Y402</f>
        <v>10034761.731565012</v>
      </c>
      <c r="D73" s="322"/>
      <c r="E73" s="911">
        <f>+Alloc!Y403</f>
        <v>7.6600000000000001E-2</v>
      </c>
    </row>
    <row r="74" spans="1:5" ht="14.1" customHeight="1">
      <c r="A74" s="322" t="s">
        <v>322</v>
      </c>
      <c r="B74" s="322"/>
      <c r="C74" s="348">
        <f>+Alloc!AA402</f>
        <v>1591993</v>
      </c>
      <c r="D74" s="322"/>
      <c r="E74" s="911">
        <f>+Alloc!AA403</f>
        <v>1.2200000000000001E-2</v>
      </c>
    </row>
    <row r="75" spans="1:5" ht="14.1" customHeight="1">
      <c r="A75" s="322" t="s">
        <v>323</v>
      </c>
      <c r="B75" s="322"/>
      <c r="C75" s="348">
        <f>+Alloc!AC402</f>
        <v>1070663</v>
      </c>
      <c r="D75" s="322"/>
      <c r="E75" s="911">
        <f>+Alloc!AC403</f>
        <v>8.2000000000000007E-3</v>
      </c>
    </row>
    <row r="76" spans="1:5" ht="14.1" customHeight="1">
      <c r="A76" s="322" t="s">
        <v>598</v>
      </c>
      <c r="B76" s="322"/>
      <c r="C76" s="348">
        <f>+Alloc!AE402</f>
        <v>216242</v>
      </c>
      <c r="D76" s="322"/>
      <c r="E76" s="911">
        <f>+Alloc!AE403</f>
        <v>1.6999999999999999E-3</v>
      </c>
    </row>
    <row r="77" spans="1:5" ht="14.1" customHeight="1">
      <c r="A77" s="322" t="s">
        <v>425</v>
      </c>
      <c r="B77" s="322"/>
      <c r="C77" s="359">
        <f>+Alloc!AG402</f>
        <v>585964</v>
      </c>
      <c r="D77" s="322"/>
      <c r="E77" s="471">
        <f>+Alloc!AG403</f>
        <v>4.4999999999999997E-3</v>
      </c>
    </row>
    <row r="78" spans="1:5" ht="15.6" customHeight="1" thickBot="1">
      <c r="A78" s="322" t="s">
        <v>176</v>
      </c>
      <c r="B78" s="322"/>
      <c r="C78" s="524">
        <f>SUM(C65:C77)</f>
        <v>131015746.99128173</v>
      </c>
      <c r="D78" s="322"/>
      <c r="E78" s="382">
        <f>SUM(E65:E77)</f>
        <v>1</v>
      </c>
    </row>
    <row r="79" spans="1:5" ht="14.1" customHeight="1" thickTop="1">
      <c r="A79" s="322"/>
      <c r="B79" s="322"/>
      <c r="C79" s="341"/>
      <c r="D79" s="322"/>
      <c r="E79" s="341"/>
    </row>
    <row r="80" spans="1:5" ht="14.1" customHeight="1">
      <c r="A80" s="923" t="s">
        <v>802</v>
      </c>
      <c r="B80" s="324"/>
      <c r="C80" s="324"/>
      <c r="D80" s="324"/>
      <c r="E80" s="324"/>
    </row>
    <row r="81" spans="1:5" ht="10.9" customHeight="1">
      <c r="A81" s="321"/>
      <c r="B81" s="321"/>
      <c r="C81" s="321"/>
      <c r="D81" s="321"/>
      <c r="E81" s="321"/>
    </row>
    <row r="82" spans="1:5" ht="14.1" customHeight="1">
      <c r="A82" s="321" t="s">
        <v>170</v>
      </c>
      <c r="B82" s="321"/>
      <c r="C82" s="321"/>
      <c r="D82" s="321"/>
      <c r="E82" s="321"/>
    </row>
    <row r="83" spans="1:5" ht="12" customHeight="1">
      <c r="A83" s="322"/>
      <c r="B83" s="322"/>
      <c r="C83" s="322"/>
      <c r="D83" s="322"/>
      <c r="E83" s="322"/>
    </row>
    <row r="84" spans="1:5" ht="14.1" customHeight="1">
      <c r="A84" s="322" t="s">
        <v>205</v>
      </c>
      <c r="B84" s="322"/>
      <c r="C84" s="322"/>
      <c r="D84" s="322"/>
      <c r="E84" s="322"/>
    </row>
    <row r="85" spans="1:5" ht="7.9" customHeight="1">
      <c r="A85" s="322"/>
      <c r="B85" s="322"/>
      <c r="C85" s="322"/>
      <c r="D85" s="322"/>
      <c r="E85" s="322"/>
    </row>
    <row r="86" spans="1:5" ht="14.1" customHeight="1">
      <c r="A86" s="322" t="s">
        <v>137</v>
      </c>
      <c r="B86" s="322"/>
      <c r="C86" s="322"/>
      <c r="D86" s="322"/>
      <c r="E86" s="322"/>
    </row>
    <row r="87" spans="1:5" ht="16.5" customHeight="1">
      <c r="A87" s="322" t="s">
        <v>453</v>
      </c>
      <c r="B87" s="322"/>
      <c r="C87" s="322"/>
      <c r="D87" s="322"/>
      <c r="E87" s="322"/>
    </row>
    <row r="88" spans="1:5" ht="4.9000000000000004" customHeight="1">
      <c r="A88" s="322"/>
      <c r="B88" s="322"/>
      <c r="C88" s="322"/>
      <c r="D88" s="322"/>
      <c r="E88" s="322"/>
    </row>
    <row r="89" spans="1:5" ht="8.25" customHeight="1">
      <c r="A89" s="324"/>
      <c r="B89" s="919"/>
      <c r="C89" s="919"/>
      <c r="D89" s="919"/>
      <c r="E89" s="919"/>
    </row>
    <row r="90" spans="1:5" ht="12" customHeight="1">
      <c r="A90" s="321" t="s">
        <v>171</v>
      </c>
      <c r="B90" s="322"/>
      <c r="C90" s="908" t="s">
        <v>211</v>
      </c>
      <c r="D90" s="322"/>
      <c r="E90" s="908" t="s">
        <v>180</v>
      </c>
    </row>
    <row r="91" spans="1:5" ht="13.5" customHeight="1">
      <c r="A91" s="321" t="s">
        <v>172</v>
      </c>
      <c r="B91" s="322"/>
      <c r="C91" s="908" t="s">
        <v>207</v>
      </c>
      <c r="D91" s="322"/>
      <c r="E91" s="908" t="s">
        <v>186</v>
      </c>
    </row>
    <row r="92" spans="1:5" ht="12.6" customHeight="1">
      <c r="A92" s="326" t="s">
        <v>173</v>
      </c>
      <c r="B92" s="322"/>
      <c r="C92" s="327" t="s">
        <v>181</v>
      </c>
      <c r="D92" s="322"/>
      <c r="E92" s="327" t="s">
        <v>194</v>
      </c>
    </row>
    <row r="93" spans="1:5" ht="13.15" customHeight="1">
      <c r="A93" s="330" t="s">
        <v>252</v>
      </c>
      <c r="B93" s="322"/>
      <c r="C93" s="322"/>
      <c r="D93" s="322"/>
      <c r="E93" s="322"/>
    </row>
    <row r="94" spans="1:5" ht="13.15" customHeight="1">
      <c r="A94" s="322" t="s">
        <v>320</v>
      </c>
      <c r="B94" s="322"/>
      <c r="C94" s="524">
        <f>+Alloc!K404</f>
        <v>15136178</v>
      </c>
      <c r="D94" s="322"/>
      <c r="E94" s="382">
        <f>+Alloc!K405</f>
        <v>0.1958</v>
      </c>
    </row>
    <row r="95" spans="1:5" ht="13.15" customHeight="1">
      <c r="A95" s="322" t="s">
        <v>321</v>
      </c>
      <c r="B95" s="322"/>
      <c r="C95" s="348">
        <f>+Alloc!M404</f>
        <v>6837929</v>
      </c>
      <c r="D95" s="322"/>
      <c r="E95" s="382">
        <f>+Alloc!M405</f>
        <v>8.8499999999999995E-2</v>
      </c>
    </row>
    <row r="96" spans="1:5" ht="13.15" customHeight="1">
      <c r="A96" s="322" t="s">
        <v>322</v>
      </c>
      <c r="B96" s="322"/>
      <c r="C96" s="348">
        <f>+Alloc!O404</f>
        <v>1762416</v>
      </c>
      <c r="D96" s="322"/>
      <c r="E96" s="382">
        <f>+Alloc!O405</f>
        <v>2.2800000000000001E-2</v>
      </c>
    </row>
    <row r="97" spans="1:5" ht="13.15" customHeight="1">
      <c r="A97" s="322" t="s">
        <v>323</v>
      </c>
      <c r="B97" s="322"/>
      <c r="C97" s="348">
        <f>+Alloc!Q404</f>
        <v>1744401</v>
      </c>
      <c r="D97" s="322"/>
      <c r="E97" s="382">
        <f>+Alloc!Q405</f>
        <v>2.2599999999999999E-2</v>
      </c>
    </row>
    <row r="98" spans="1:5" ht="13.15" customHeight="1">
      <c r="A98" s="322" t="s">
        <v>598</v>
      </c>
      <c r="B98" s="322"/>
      <c r="C98" s="348">
        <f>+Alloc!S475</f>
        <v>3321191</v>
      </c>
      <c r="D98" s="322"/>
      <c r="E98" s="382">
        <f>+Alloc!S405</f>
        <v>4.2999999999999997E-2</v>
      </c>
    </row>
    <row r="99" spans="1:5" ht="13.15" customHeight="1">
      <c r="A99" s="322" t="s">
        <v>425</v>
      </c>
      <c r="B99" s="322"/>
      <c r="C99" s="348">
        <f>+Alloc!U404</f>
        <v>1131662</v>
      </c>
      <c r="D99" s="322"/>
      <c r="E99" s="382">
        <f>+Alloc!U405</f>
        <v>1.46E-2</v>
      </c>
    </row>
    <row r="100" spans="1:5" ht="16.5" customHeight="1">
      <c r="A100" s="330" t="s">
        <v>253</v>
      </c>
      <c r="B100" s="322"/>
      <c r="C100" s="348"/>
      <c r="D100" s="322"/>
      <c r="E100" s="911"/>
    </row>
    <row r="101" spans="1:5" ht="13.15" customHeight="1">
      <c r="A101" s="322" t="s">
        <v>320</v>
      </c>
      <c r="B101" s="322"/>
      <c r="C101" s="348">
        <f>+Alloc!W475</f>
        <v>36624097</v>
      </c>
      <c r="D101" s="322"/>
      <c r="E101" s="911">
        <f>+Alloc!W405</f>
        <v>0.47389999999999999</v>
      </c>
    </row>
    <row r="102" spans="1:5" ht="13.15" customHeight="1">
      <c r="A102" s="322" t="s">
        <v>321</v>
      </c>
      <c r="B102" s="322"/>
      <c r="C102" s="348">
        <f>+Alloc!Y475</f>
        <v>7939416</v>
      </c>
      <c r="D102" s="322"/>
      <c r="E102" s="911">
        <f>+Alloc!Y405</f>
        <v>0.1027</v>
      </c>
    </row>
    <row r="103" spans="1:5" ht="13.15" customHeight="1">
      <c r="A103" s="322" t="s">
        <v>322</v>
      </c>
      <c r="B103" s="322"/>
      <c r="C103" s="348">
        <f>+Alloc!AA475</f>
        <v>1313972</v>
      </c>
      <c r="D103" s="322"/>
      <c r="E103" s="911">
        <f>+Alloc!AA405</f>
        <v>1.7000000000000001E-2</v>
      </c>
    </row>
    <row r="104" spans="1:5" ht="13.15" customHeight="1">
      <c r="A104" s="322" t="s">
        <v>323</v>
      </c>
      <c r="B104" s="322"/>
      <c r="C104" s="348">
        <f>+Alloc!AC475</f>
        <v>827920</v>
      </c>
      <c r="D104" s="322"/>
      <c r="E104" s="911">
        <f>+Alloc!AC405</f>
        <v>1.0699999999999999E-2</v>
      </c>
    </row>
    <row r="105" spans="1:5" ht="13.15" customHeight="1">
      <c r="A105" s="322" t="s">
        <v>598</v>
      </c>
      <c r="B105" s="322"/>
      <c r="C105" s="348">
        <f>+Alloc!AE475</f>
        <v>165602</v>
      </c>
      <c r="D105" s="322"/>
      <c r="E105" s="911">
        <f>+Alloc!AE405</f>
        <v>2.0999999999999999E-3</v>
      </c>
    </row>
    <row r="106" spans="1:5" ht="13.15" customHeight="1">
      <c r="A106" s="322" t="s">
        <v>425</v>
      </c>
      <c r="B106" s="322"/>
      <c r="C106" s="359">
        <f>+Alloc!AG404</f>
        <v>486563</v>
      </c>
      <c r="D106" s="322"/>
      <c r="E106" s="471">
        <f>+Alloc!AG405</f>
        <v>6.3E-3</v>
      </c>
    </row>
    <row r="107" spans="1:5" ht="16.899999999999999" customHeight="1" thickBot="1">
      <c r="A107" s="322" t="s">
        <v>176</v>
      </c>
      <c r="B107" s="322"/>
      <c r="C107" s="524">
        <f>SUM(C94:C106)</f>
        <v>77291347</v>
      </c>
      <c r="D107" s="322"/>
      <c r="E107" s="382">
        <f>+SUM(E94:E106)</f>
        <v>1</v>
      </c>
    </row>
    <row r="108" spans="1:5" ht="9" customHeight="1" thickTop="1">
      <c r="A108" s="322"/>
      <c r="B108" s="322"/>
      <c r="C108" s="925"/>
      <c r="D108" s="322"/>
      <c r="E108" s="925"/>
    </row>
    <row r="109" spans="1:5" ht="13.15" customHeight="1">
      <c r="A109" s="322"/>
      <c r="B109" s="322"/>
      <c r="C109" s="322"/>
      <c r="D109" s="322"/>
      <c r="E109" s="322"/>
    </row>
    <row r="110" spans="1:5" ht="13.15" customHeight="1">
      <c r="A110" s="322" t="s">
        <v>154</v>
      </c>
      <c r="B110" s="322"/>
      <c r="C110" s="322"/>
      <c r="D110" s="322"/>
      <c r="E110" s="322"/>
    </row>
    <row r="111" spans="1:5" ht="13.15" customHeight="1">
      <c r="A111" s="322" t="s">
        <v>155</v>
      </c>
      <c r="B111" s="322"/>
      <c r="C111" s="322"/>
      <c r="D111" s="322"/>
      <c r="E111" s="322"/>
    </row>
    <row r="112" spans="1:5" ht="13.15" customHeight="1">
      <c r="A112" s="322"/>
      <c r="B112" s="322"/>
      <c r="C112" s="322"/>
      <c r="D112" s="322"/>
      <c r="E112" s="322"/>
    </row>
    <row r="113" spans="1:5" ht="13.15" customHeight="1">
      <c r="A113" s="322" t="s">
        <v>138</v>
      </c>
      <c r="B113" s="322"/>
      <c r="C113" s="322"/>
      <c r="D113" s="322"/>
      <c r="E113" s="322"/>
    </row>
    <row r="114" spans="1:5" ht="13.15" customHeight="1">
      <c r="A114" s="322" t="s">
        <v>139</v>
      </c>
      <c r="B114" s="322"/>
      <c r="C114" s="322"/>
      <c r="D114" s="322"/>
      <c r="E114" s="322"/>
    </row>
    <row r="115" spans="1:5" ht="7.15" customHeight="1">
      <c r="A115" s="322"/>
      <c r="B115" s="322"/>
      <c r="C115" s="322"/>
      <c r="D115" s="322"/>
      <c r="E115" s="322"/>
    </row>
    <row r="116" spans="1:5" ht="13.15" customHeight="1">
      <c r="A116" s="322"/>
      <c r="B116" s="322"/>
      <c r="C116" s="908" t="s">
        <v>200</v>
      </c>
      <c r="D116" s="322"/>
      <c r="E116" s="322"/>
    </row>
    <row r="117" spans="1:5" ht="13.15" customHeight="1">
      <c r="A117" s="321" t="s">
        <v>171</v>
      </c>
      <c r="B117" s="322"/>
      <c r="C117" s="908" t="s">
        <v>212</v>
      </c>
      <c r="D117" s="322"/>
      <c r="E117" s="908" t="s">
        <v>180</v>
      </c>
    </row>
    <row r="118" spans="1:5" ht="13.15" customHeight="1">
      <c r="A118" s="321" t="s">
        <v>172</v>
      </c>
      <c r="B118" s="322"/>
      <c r="C118" s="908" t="s">
        <v>213</v>
      </c>
      <c r="D118" s="322"/>
      <c r="E118" s="908" t="s">
        <v>186</v>
      </c>
    </row>
    <row r="119" spans="1:5" ht="13.15" customHeight="1">
      <c r="A119" s="326" t="s">
        <v>173</v>
      </c>
      <c r="B119" s="322"/>
      <c r="C119" s="327" t="s">
        <v>181</v>
      </c>
      <c r="D119" s="322"/>
      <c r="E119" s="327" t="s">
        <v>194</v>
      </c>
    </row>
    <row r="120" spans="1:5" ht="13.15" customHeight="1">
      <c r="A120" s="330" t="s">
        <v>252</v>
      </c>
      <c r="B120" s="322"/>
      <c r="C120" s="322"/>
      <c r="D120" s="322"/>
      <c r="E120" s="322"/>
    </row>
    <row r="121" spans="1:5" ht="13.15" customHeight="1">
      <c r="A121" s="322" t="s">
        <v>320</v>
      </c>
      <c r="B121" s="322"/>
      <c r="C121" s="524">
        <f>+Alloc!K406</f>
        <v>915038405</v>
      </c>
      <c r="D121" s="322"/>
      <c r="E121" s="382">
        <f>+Alloc!K407</f>
        <v>0.3115</v>
      </c>
    </row>
    <row r="122" spans="1:5" ht="13.15" customHeight="1">
      <c r="A122" s="322" t="s">
        <v>321</v>
      </c>
      <c r="B122" s="322"/>
      <c r="C122" s="348">
        <f>+Alloc!M406</f>
        <v>484248083</v>
      </c>
      <c r="D122" s="322"/>
      <c r="E122" s="382">
        <f>+Alloc!M407</f>
        <v>0.16489999999999999</v>
      </c>
    </row>
    <row r="123" spans="1:5" ht="13.15" customHeight="1">
      <c r="A123" s="322" t="s">
        <v>322</v>
      </c>
      <c r="B123" s="322"/>
      <c r="C123" s="348">
        <f>+Alloc!O406</f>
        <v>126311022</v>
      </c>
      <c r="D123" s="322"/>
      <c r="E123" s="382">
        <f>+Alloc!O407</f>
        <v>4.2999999999999997E-2</v>
      </c>
    </row>
    <row r="124" spans="1:5" ht="13.15" customHeight="1">
      <c r="A124" s="322" t="s">
        <v>323</v>
      </c>
      <c r="B124" s="322"/>
      <c r="C124" s="348">
        <f>+Alloc!Q406</f>
        <v>124273091</v>
      </c>
      <c r="D124" s="322"/>
      <c r="E124" s="382">
        <f>+Alloc!Q407</f>
        <v>4.2299999999999997E-2</v>
      </c>
    </row>
    <row r="125" spans="1:5" ht="13.15" customHeight="1">
      <c r="A125" s="322" t="s">
        <v>598</v>
      </c>
      <c r="B125" s="322"/>
      <c r="C125" s="348">
        <f>+Alloc!S406</f>
        <v>107676115</v>
      </c>
      <c r="D125" s="322"/>
      <c r="E125" s="382">
        <f>+Alloc!S407</f>
        <v>3.6700000000000003E-2</v>
      </c>
    </row>
    <row r="126" spans="1:5" ht="13.15" customHeight="1">
      <c r="A126" s="322" t="s">
        <v>425</v>
      </c>
      <c r="B126" s="322"/>
      <c r="C126" s="348">
        <f>+Alloc!U406</f>
        <v>53493766</v>
      </c>
      <c r="D126" s="322"/>
      <c r="E126" s="382">
        <f>+Alloc!U407</f>
        <v>1.8200000000000001E-2</v>
      </c>
    </row>
    <row r="127" spans="1:5" ht="16.5" customHeight="1">
      <c r="A127" s="330" t="s">
        <v>253</v>
      </c>
      <c r="B127" s="322"/>
      <c r="C127" s="348"/>
      <c r="D127" s="322"/>
      <c r="E127" s="911"/>
    </row>
    <row r="128" spans="1:5" ht="13.15" customHeight="1">
      <c r="A128" s="322" t="s">
        <v>320</v>
      </c>
      <c r="B128" s="322"/>
      <c r="C128" s="348">
        <f>+Alloc!W406</f>
        <v>902873985</v>
      </c>
      <c r="D128" s="322"/>
      <c r="E128" s="911">
        <f>+Alloc!W407</f>
        <v>0.30740000000000001</v>
      </c>
    </row>
    <row r="129" spans="1:5" ht="13.15" customHeight="1">
      <c r="A129" s="322" t="s">
        <v>321</v>
      </c>
      <c r="B129" s="322"/>
      <c r="C129" s="348">
        <f>+Alloc!Y406</f>
        <v>183836771</v>
      </c>
      <c r="D129" s="322"/>
      <c r="E129" s="911">
        <f>+Alloc!Y407</f>
        <v>6.2600000000000003E-2</v>
      </c>
    </row>
    <row r="130" spans="1:5" ht="13.15" customHeight="1">
      <c r="A130" s="322" t="s">
        <v>322</v>
      </c>
      <c r="B130" s="322"/>
      <c r="C130" s="348">
        <f>+Alloc!AA406</f>
        <v>17969967</v>
      </c>
      <c r="D130" s="322"/>
      <c r="E130" s="911">
        <f>+Alloc!AA407</f>
        <v>6.1000000000000004E-3</v>
      </c>
    </row>
    <row r="131" spans="1:5" ht="13.15" customHeight="1">
      <c r="A131" s="322" t="s">
        <v>323</v>
      </c>
      <c r="B131" s="322"/>
      <c r="C131" s="348">
        <f>+Alloc!AC406</f>
        <v>12855240</v>
      </c>
      <c r="D131" s="322"/>
      <c r="E131" s="911">
        <f>+Alloc!AC407</f>
        <v>4.4000000000000003E-3</v>
      </c>
    </row>
    <row r="132" spans="1:5" ht="13.15" customHeight="1">
      <c r="A132" s="322" t="s">
        <v>598</v>
      </c>
      <c r="B132" s="322"/>
      <c r="C132" s="348">
        <f>+Alloc!AE406</f>
        <v>2147340</v>
      </c>
      <c r="D132" s="322"/>
      <c r="E132" s="911">
        <f>+Alloc!AE407</f>
        <v>6.9999999999999999E-4</v>
      </c>
    </row>
    <row r="133" spans="1:5" ht="13.15" customHeight="1">
      <c r="A133" s="322" t="s">
        <v>425</v>
      </c>
      <c r="B133" s="322"/>
      <c r="C133" s="359">
        <f>+Alloc!AG406</f>
        <v>6472153</v>
      </c>
      <c r="D133" s="322"/>
      <c r="E133" s="471">
        <f>+Alloc!AG407</f>
        <v>2.2000000000000001E-3</v>
      </c>
    </row>
    <row r="134" spans="1:5" ht="18.600000000000001" customHeight="1" thickBot="1">
      <c r="A134" s="322" t="s">
        <v>176</v>
      </c>
      <c r="B134" s="322"/>
      <c r="C134" s="921">
        <f>SUM(C121:C133)</f>
        <v>2937195938</v>
      </c>
      <c r="D134" s="322"/>
      <c r="E134" s="922">
        <f>SUM(E121:E133)</f>
        <v>0.99999999999999989</v>
      </c>
    </row>
    <row r="135" spans="1:5" ht="15.75" thickTop="1">
      <c r="A135" s="322"/>
      <c r="B135" s="322"/>
      <c r="C135" s="322"/>
      <c r="D135" s="322"/>
      <c r="E135" s="322"/>
    </row>
    <row r="136" spans="1:5">
      <c r="A136" s="322"/>
      <c r="B136" s="322"/>
      <c r="C136" s="322"/>
      <c r="D136" s="322"/>
      <c r="E136" s="322"/>
    </row>
    <row r="137" spans="1:5">
      <c r="A137" s="322"/>
      <c r="B137" s="322"/>
      <c r="C137" s="322"/>
      <c r="D137" s="322"/>
      <c r="E137" s="322"/>
    </row>
    <row r="138" spans="1:5">
      <c r="A138" s="322"/>
      <c r="B138" s="322"/>
      <c r="C138" s="322"/>
      <c r="D138" s="322"/>
      <c r="E138" s="322"/>
    </row>
    <row r="139" spans="1:5">
      <c r="A139" s="322"/>
      <c r="B139" s="322"/>
      <c r="C139" s="322"/>
      <c r="D139" s="322"/>
      <c r="E139" s="322"/>
    </row>
    <row r="140" spans="1:5">
      <c r="A140" s="322"/>
      <c r="B140" s="322"/>
      <c r="C140" s="322"/>
      <c r="D140" s="322"/>
      <c r="E140" s="322"/>
    </row>
    <row r="141" spans="1:5">
      <c r="A141" s="322"/>
      <c r="B141" s="322"/>
      <c r="C141" s="322"/>
      <c r="D141" s="322"/>
      <c r="E141" s="322"/>
    </row>
    <row r="142" spans="1:5">
      <c r="A142" s="322"/>
      <c r="B142" s="322"/>
      <c r="C142" s="322"/>
      <c r="D142" s="322"/>
      <c r="E142" s="322"/>
    </row>
    <row r="143" spans="1:5">
      <c r="A143" s="322"/>
      <c r="B143" s="322"/>
      <c r="C143" s="322"/>
      <c r="D143" s="322"/>
      <c r="E143" s="322"/>
    </row>
    <row r="144" spans="1:5">
      <c r="A144" s="322"/>
      <c r="B144" s="322"/>
      <c r="C144" s="322"/>
      <c r="D144" s="322"/>
      <c r="E144" s="322"/>
    </row>
    <row r="145" spans="1:5">
      <c r="A145" s="322"/>
      <c r="B145" s="322"/>
      <c r="C145" s="322"/>
      <c r="D145" s="322"/>
      <c r="E145" s="322"/>
    </row>
    <row r="146" spans="1:5">
      <c r="A146" s="322"/>
      <c r="B146" s="322"/>
      <c r="C146" s="322"/>
      <c r="D146" s="322"/>
      <c r="E146" s="322"/>
    </row>
    <row r="147" spans="1:5">
      <c r="A147" s="322"/>
      <c r="B147" s="322"/>
      <c r="C147" s="322"/>
      <c r="D147" s="322"/>
      <c r="E147" s="322"/>
    </row>
    <row r="148" spans="1:5">
      <c r="A148" s="322"/>
      <c r="B148" s="322"/>
      <c r="C148" s="322"/>
      <c r="D148" s="322"/>
      <c r="E148" s="322"/>
    </row>
    <row r="149" spans="1:5">
      <c r="A149" s="322"/>
      <c r="B149" s="322"/>
      <c r="C149" s="322"/>
      <c r="D149" s="322"/>
      <c r="E149" s="322"/>
    </row>
    <row r="150" spans="1:5">
      <c r="A150" s="322"/>
      <c r="B150" s="322"/>
      <c r="C150" s="322"/>
      <c r="D150" s="322"/>
      <c r="E150" s="322"/>
    </row>
    <row r="151" spans="1:5">
      <c r="A151" s="322"/>
      <c r="B151" s="322"/>
      <c r="C151" s="322"/>
      <c r="D151" s="322"/>
      <c r="E151" s="322"/>
    </row>
    <row r="152" spans="1:5">
      <c r="A152" s="322"/>
      <c r="B152" s="322"/>
      <c r="C152" s="322"/>
      <c r="D152" s="322"/>
      <c r="E152" s="322"/>
    </row>
    <row r="153" spans="1:5">
      <c r="A153" s="322"/>
      <c r="B153" s="322"/>
      <c r="C153" s="322"/>
      <c r="D153" s="322"/>
      <c r="E153" s="322"/>
    </row>
    <row r="154" spans="1:5">
      <c r="A154" s="322"/>
      <c r="B154" s="322"/>
      <c r="C154" s="322"/>
      <c r="D154" s="322"/>
      <c r="E154" s="322"/>
    </row>
    <row r="155" spans="1:5">
      <c r="A155" s="322"/>
      <c r="B155" s="322"/>
      <c r="C155" s="322"/>
      <c r="D155" s="322"/>
      <c r="E155" s="322"/>
    </row>
    <row r="156" spans="1:5">
      <c r="A156" s="322"/>
      <c r="B156" s="322"/>
      <c r="C156" s="322"/>
      <c r="D156" s="322"/>
      <c r="E156" s="322"/>
    </row>
    <row r="157" spans="1:5">
      <c r="A157" s="322"/>
      <c r="B157" s="322"/>
      <c r="C157" s="322"/>
      <c r="D157" s="322"/>
      <c r="E157" s="322"/>
    </row>
    <row r="158" spans="1:5">
      <c r="A158" s="322"/>
      <c r="B158" s="322"/>
      <c r="C158" s="322"/>
      <c r="D158" s="322"/>
      <c r="E158" s="322"/>
    </row>
    <row r="159" spans="1:5">
      <c r="A159" s="322"/>
      <c r="B159" s="322"/>
      <c r="C159" s="322"/>
      <c r="D159" s="322"/>
      <c r="E159" s="322"/>
    </row>
    <row r="160" spans="1:5">
      <c r="A160" s="322"/>
      <c r="B160" s="322"/>
      <c r="C160" s="322"/>
      <c r="D160" s="322"/>
      <c r="E160" s="322"/>
    </row>
    <row r="161" spans="1:5">
      <c r="A161" s="322"/>
      <c r="B161" s="322"/>
      <c r="C161" s="322"/>
      <c r="D161" s="322"/>
      <c r="E161" s="322"/>
    </row>
    <row r="162" spans="1:5">
      <c r="A162" s="322"/>
      <c r="B162" s="322"/>
      <c r="C162" s="322"/>
      <c r="D162" s="322"/>
      <c r="E162" s="322"/>
    </row>
    <row r="163" spans="1:5">
      <c r="A163" s="322"/>
      <c r="B163" s="322"/>
      <c r="C163" s="322"/>
      <c r="D163" s="322"/>
      <c r="E163" s="322"/>
    </row>
    <row r="164" spans="1:5">
      <c r="A164" s="322"/>
      <c r="B164" s="322"/>
      <c r="C164" s="322"/>
      <c r="D164" s="322"/>
      <c r="E164" s="322"/>
    </row>
    <row r="165" spans="1:5">
      <c r="A165" s="322"/>
      <c r="B165" s="322"/>
      <c r="C165" s="322"/>
      <c r="D165" s="322"/>
      <c r="E165" s="322"/>
    </row>
    <row r="166" spans="1:5">
      <c r="A166" s="322"/>
      <c r="B166" s="322"/>
      <c r="C166" s="322"/>
      <c r="D166" s="322"/>
      <c r="E166" s="322"/>
    </row>
    <row r="167" spans="1:5">
      <c r="A167" s="322"/>
      <c r="B167" s="322"/>
      <c r="C167" s="322"/>
      <c r="D167" s="322"/>
      <c r="E167" s="322"/>
    </row>
    <row r="168" spans="1:5">
      <c r="A168" s="322"/>
      <c r="B168" s="322"/>
      <c r="C168" s="322"/>
      <c r="D168" s="322"/>
      <c r="E168" s="322"/>
    </row>
    <row r="169" spans="1:5">
      <c r="A169" s="322"/>
      <c r="B169" s="322"/>
      <c r="C169" s="322"/>
      <c r="D169" s="322"/>
      <c r="E169" s="322"/>
    </row>
    <row r="170" spans="1:5">
      <c r="A170" s="322"/>
      <c r="B170" s="322"/>
      <c r="C170" s="322"/>
      <c r="D170" s="322"/>
      <c r="E170" s="322"/>
    </row>
    <row r="171" spans="1:5">
      <c r="A171" s="322"/>
      <c r="B171" s="322"/>
      <c r="C171" s="322"/>
      <c r="D171" s="322"/>
      <c r="E171" s="322"/>
    </row>
  </sheetData>
  <phoneticPr fontId="9" type="noConversion"/>
  <printOptions horizontalCentered="1"/>
  <pageMargins left="0.9" right="0.65" top="1" bottom="0.2" header="0" footer="0"/>
  <pageSetup scale="95" orientation="portrait" r:id="rId1"/>
  <headerFooter alignWithMargins="0"/>
  <rowBreaks count="2" manualBreakCount="2">
    <brk id="51" max="4" man="1"/>
    <brk id="7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178"/>
  <sheetViews>
    <sheetView workbookViewId="0">
      <selection activeCell="I68" sqref="I68"/>
    </sheetView>
  </sheetViews>
  <sheetFormatPr defaultColWidth="9.6640625" defaultRowHeight="15"/>
  <cols>
    <col min="1" max="1" width="18.6640625" style="1" customWidth="1"/>
    <col min="2" max="2" width="9.44140625" style="1" customWidth="1"/>
    <col min="3" max="3" width="14" style="1" bestFit="1" customWidth="1"/>
    <col min="4" max="4" width="12.77734375" style="1" customWidth="1"/>
    <col min="5" max="5" width="10.6640625" style="1" customWidth="1"/>
    <col min="6" max="7" width="9.6640625" style="1" customWidth="1"/>
    <col min="8" max="8" width="10" style="1" bestFit="1" customWidth="1"/>
    <col min="9" max="9" width="9.6640625" style="1" customWidth="1"/>
    <col min="10" max="10" width="10" style="1" bestFit="1" customWidth="1"/>
    <col min="11" max="16384" width="9.6640625" style="1"/>
  </cols>
  <sheetData>
    <row r="1" spans="1:5">
      <c r="A1" s="1030" t="s">
        <v>802</v>
      </c>
      <c r="B1" s="1030"/>
      <c r="C1" s="1030"/>
      <c r="D1" s="1030"/>
      <c r="E1" s="1030"/>
    </row>
    <row r="2" spans="1:5" ht="11.45" customHeight="1">
      <c r="A2" s="98"/>
      <c r="B2" s="2"/>
      <c r="C2" s="2"/>
      <c r="D2" s="2"/>
      <c r="E2" s="2"/>
    </row>
    <row r="3" spans="1:5">
      <c r="A3" s="321" t="s">
        <v>170</v>
      </c>
      <c r="B3" s="2"/>
      <c r="C3" s="2"/>
      <c r="D3" s="2"/>
      <c r="E3" s="2"/>
    </row>
    <row r="4" spans="1:5" ht="9" customHeight="1">
      <c r="A4" s="4"/>
      <c r="B4" s="4"/>
      <c r="C4" s="4"/>
      <c r="D4" s="4"/>
      <c r="E4" s="4"/>
    </row>
    <row r="5" spans="1:5">
      <c r="A5" s="322" t="s">
        <v>214</v>
      </c>
      <c r="B5" s="322"/>
      <c r="C5" s="322"/>
      <c r="D5" s="322"/>
      <c r="E5" s="322"/>
    </row>
    <row r="6" spans="1:5" ht="5.25" customHeight="1">
      <c r="A6" s="322"/>
      <c r="B6" s="322"/>
      <c r="C6" s="322"/>
      <c r="D6" s="322"/>
      <c r="E6" s="322"/>
    </row>
    <row r="7" spans="1:5">
      <c r="A7" s="322" t="s">
        <v>134</v>
      </c>
      <c r="B7" s="322"/>
      <c r="C7" s="322"/>
      <c r="D7" s="322"/>
      <c r="E7" s="322"/>
    </row>
    <row r="8" spans="1:5">
      <c r="A8" s="322" t="s">
        <v>635</v>
      </c>
      <c r="B8" s="322"/>
      <c r="C8" s="322"/>
      <c r="D8" s="322"/>
      <c r="E8" s="322"/>
    </row>
    <row r="9" spans="1:5" ht="8.25" customHeight="1">
      <c r="A9" s="322"/>
      <c r="B9" s="322"/>
      <c r="C9" s="322"/>
      <c r="D9" s="322"/>
      <c r="E9" s="322"/>
    </row>
    <row r="10" spans="1:5" ht="13.15" customHeight="1">
      <c r="A10" s="322"/>
      <c r="B10" s="322"/>
      <c r="C10" s="908" t="s">
        <v>200</v>
      </c>
      <c r="D10" s="322"/>
      <c r="E10" s="322"/>
    </row>
    <row r="11" spans="1:5" ht="13.15" customHeight="1">
      <c r="A11" s="321" t="s">
        <v>171</v>
      </c>
      <c r="B11" s="322"/>
      <c r="C11" s="908" t="s">
        <v>212</v>
      </c>
      <c r="D11" s="322"/>
      <c r="E11" s="908" t="s">
        <v>180</v>
      </c>
    </row>
    <row r="12" spans="1:5" ht="13.15" customHeight="1">
      <c r="A12" s="321" t="s">
        <v>172</v>
      </c>
      <c r="B12" s="322"/>
      <c r="C12" s="908" t="s">
        <v>213</v>
      </c>
      <c r="D12" s="322"/>
      <c r="E12" s="908" t="s">
        <v>186</v>
      </c>
    </row>
    <row r="13" spans="1:5" ht="13.15" customHeight="1">
      <c r="A13" s="326" t="s">
        <v>173</v>
      </c>
      <c r="B13" s="322"/>
      <c r="C13" s="327" t="s">
        <v>181</v>
      </c>
      <c r="D13" s="322"/>
      <c r="E13" s="327" t="s">
        <v>194</v>
      </c>
    </row>
    <row r="14" spans="1:5" ht="13.15" customHeight="1">
      <c r="A14" s="330" t="s">
        <v>252</v>
      </c>
      <c r="B14" s="322"/>
      <c r="C14" s="322"/>
      <c r="D14" s="322"/>
      <c r="E14" s="322"/>
    </row>
    <row r="15" spans="1:5" ht="13.15" customHeight="1">
      <c r="A15" s="322" t="s">
        <v>320</v>
      </c>
      <c r="B15" s="322"/>
      <c r="C15" s="524">
        <f>+Alloc!K408</f>
        <v>736354649</v>
      </c>
      <c r="D15" s="322"/>
      <c r="E15" s="927">
        <f>+Alloc!K409</f>
        <v>0.3115</v>
      </c>
    </row>
    <row r="16" spans="1:5" ht="13.15" customHeight="1">
      <c r="A16" s="322" t="s">
        <v>321</v>
      </c>
      <c r="B16" s="322"/>
      <c r="C16" s="348">
        <f>+Alloc!M408</f>
        <v>389657548</v>
      </c>
      <c r="D16" s="322"/>
      <c r="E16" s="382">
        <f>+Alloc!M409</f>
        <v>0.16489999999999999</v>
      </c>
    </row>
    <row r="17" spans="1:5" ht="13.15" customHeight="1">
      <c r="A17" s="322" t="s">
        <v>322</v>
      </c>
      <c r="B17" s="322"/>
      <c r="C17" s="348">
        <f>+Alloc!O408</f>
        <v>101645207</v>
      </c>
      <c r="D17" s="322"/>
      <c r="E17" s="382">
        <f>+Alloc!O409</f>
        <v>4.2999999999999997E-2</v>
      </c>
    </row>
    <row r="18" spans="1:5" ht="13.15" customHeight="1">
      <c r="A18" s="322" t="s">
        <v>323</v>
      </c>
      <c r="B18" s="322"/>
      <c r="C18" s="348">
        <f>+Alloc!Q408</f>
        <v>100008811</v>
      </c>
      <c r="D18" s="322"/>
      <c r="E18" s="382">
        <f>+Alloc!Q409</f>
        <v>4.2299999999999997E-2</v>
      </c>
    </row>
    <row r="19" spans="1:5" ht="13.15" customHeight="1">
      <c r="A19" s="322" t="s">
        <v>598</v>
      </c>
      <c r="B19" s="322"/>
      <c r="C19" s="348">
        <f>+Alloc!S408</f>
        <v>86624129</v>
      </c>
      <c r="D19" s="322"/>
      <c r="E19" s="382">
        <f>ROUND(+C19/$C$29,4)</f>
        <v>3.6600000000000001E-2</v>
      </c>
    </row>
    <row r="20" spans="1:5" ht="13.15" customHeight="1">
      <c r="A20" s="322" t="s">
        <v>425</v>
      </c>
      <c r="B20" s="322"/>
      <c r="C20" s="348">
        <f>+Alloc!U408</f>
        <v>43053817</v>
      </c>
      <c r="D20" s="322"/>
      <c r="E20" s="382">
        <f>+Alloc!U409</f>
        <v>1.8200000000000001E-2</v>
      </c>
    </row>
    <row r="21" spans="1:5" ht="18" customHeight="1">
      <c r="A21" s="330" t="s">
        <v>253</v>
      </c>
      <c r="B21" s="322"/>
      <c r="C21" s="348"/>
      <c r="D21" s="322"/>
      <c r="E21" s="382"/>
    </row>
    <row r="22" spans="1:5" ht="13.15" customHeight="1">
      <c r="A22" s="322" t="s">
        <v>320</v>
      </c>
      <c r="B22" s="322"/>
      <c r="C22" s="348">
        <f>+Alloc!W408</f>
        <v>726542085</v>
      </c>
      <c r="D22" s="322"/>
      <c r="E22" s="382">
        <f>+Alloc!W409</f>
        <v>0.3075</v>
      </c>
    </row>
    <row r="23" spans="1:5" ht="13.15" customHeight="1">
      <c r="A23" s="322" t="s">
        <v>321</v>
      </c>
      <c r="B23" s="322"/>
      <c r="C23" s="348">
        <f>+Alloc!Y408</f>
        <v>147927932</v>
      </c>
      <c r="D23" s="322"/>
      <c r="E23" s="382">
        <f>+Alloc!Y409</f>
        <v>6.2600000000000003E-2</v>
      </c>
    </row>
    <row r="24" spans="1:5" ht="13.15" customHeight="1">
      <c r="A24" s="322" t="s">
        <v>322</v>
      </c>
      <c r="B24" s="322"/>
      <c r="C24" s="348">
        <f>+Alloc!AA408</f>
        <v>14470863</v>
      </c>
      <c r="D24" s="322"/>
      <c r="E24" s="382">
        <f>+Alloc!AA409</f>
        <v>6.1000000000000004E-3</v>
      </c>
    </row>
    <row r="25" spans="1:5" ht="13.15" customHeight="1">
      <c r="A25" s="322" t="s">
        <v>323</v>
      </c>
      <c r="B25" s="322"/>
      <c r="C25" s="348">
        <f>+Alloc!AC408</f>
        <v>10331295</v>
      </c>
      <c r="D25" s="322"/>
      <c r="E25" s="382">
        <f>+Alloc!AC409</f>
        <v>4.4000000000000003E-3</v>
      </c>
    </row>
    <row r="26" spans="1:5" ht="13.15" customHeight="1">
      <c r="A26" s="322" t="s">
        <v>598</v>
      </c>
      <c r="B26" s="322"/>
      <c r="C26" s="348">
        <f>+Alloc!AE408</f>
        <v>1745805</v>
      </c>
      <c r="D26" s="322"/>
      <c r="E26" s="382">
        <f>+Alloc!AE409</f>
        <v>6.9999999999999999E-4</v>
      </c>
    </row>
    <row r="27" spans="1:5" ht="13.15" customHeight="1">
      <c r="A27" s="322" t="s">
        <v>425</v>
      </c>
      <c r="B27" s="322"/>
      <c r="C27" s="348">
        <f>+Alloc!AG408</f>
        <v>5210182</v>
      </c>
      <c r="D27" s="322"/>
      <c r="E27" s="382">
        <f>+Alloc!AG409</f>
        <v>2.2000000000000001E-3</v>
      </c>
    </row>
    <row r="28" spans="1:5" ht="7.9" customHeight="1">
      <c r="A28" s="322"/>
      <c r="B28" s="322"/>
      <c r="C28" s="355"/>
      <c r="D28" s="322"/>
      <c r="E28" s="383"/>
    </row>
    <row r="29" spans="1:5" ht="13.15" customHeight="1">
      <c r="A29" s="322" t="s">
        <v>176</v>
      </c>
      <c r="B29" s="322"/>
      <c r="C29" s="524">
        <f>SUM(C15:C27)</f>
        <v>2363572323</v>
      </c>
      <c r="D29" s="322"/>
      <c r="E29" s="382">
        <f>SUM(E15:E27)</f>
        <v>0.99999999999999989</v>
      </c>
    </row>
    <row r="30" spans="1:5" ht="9.6" customHeight="1">
      <c r="A30" s="322"/>
      <c r="B30" s="322"/>
      <c r="C30" s="925"/>
      <c r="D30" s="322"/>
      <c r="E30" s="937"/>
    </row>
    <row r="31" spans="1:5" ht="5.45" customHeight="1">
      <c r="A31" s="322"/>
      <c r="B31" s="322"/>
      <c r="C31" s="322"/>
      <c r="D31" s="322"/>
      <c r="E31" s="322"/>
    </row>
    <row r="32" spans="1:5" ht="13.15" customHeight="1">
      <c r="A32" s="322" t="s">
        <v>135</v>
      </c>
      <c r="B32" s="322"/>
      <c r="C32" s="322"/>
      <c r="D32" s="322"/>
      <c r="E32" s="322"/>
    </row>
    <row r="33" spans="1:5" ht="13.15" customHeight="1">
      <c r="A33" s="322" t="s">
        <v>136</v>
      </c>
      <c r="B33" s="322"/>
      <c r="C33" s="322"/>
      <c r="D33" s="322"/>
      <c r="E33" s="322"/>
    </row>
    <row r="34" spans="1:5" ht="9.6" customHeight="1">
      <c r="A34" s="322"/>
      <c r="B34" s="322"/>
      <c r="C34" s="322"/>
      <c r="D34" s="322"/>
      <c r="E34" s="322"/>
    </row>
    <row r="35" spans="1:5" ht="13.15" customHeight="1">
      <c r="A35" s="322" t="s">
        <v>597</v>
      </c>
      <c r="B35" s="324"/>
      <c r="C35" s="324"/>
      <c r="D35" s="324"/>
      <c r="E35" s="324"/>
    </row>
    <row r="36" spans="1:5" ht="6.6" customHeight="1">
      <c r="A36" s="322"/>
      <c r="B36" s="322"/>
      <c r="C36" s="322"/>
      <c r="D36" s="322"/>
      <c r="E36" s="322"/>
    </row>
    <row r="37" spans="1:5" ht="13.15" customHeight="1">
      <c r="A37" s="322"/>
      <c r="B37" s="322"/>
      <c r="C37" s="908" t="s">
        <v>178</v>
      </c>
      <c r="D37" s="322"/>
      <c r="E37" s="322"/>
    </row>
    <row r="38" spans="1:5" ht="13.15" customHeight="1">
      <c r="A38" s="321" t="s">
        <v>171</v>
      </c>
      <c r="B38" s="322"/>
      <c r="C38" s="908" t="s">
        <v>215</v>
      </c>
      <c r="D38" s="322"/>
      <c r="E38" s="908" t="s">
        <v>180</v>
      </c>
    </row>
    <row r="39" spans="1:5" ht="13.15" customHeight="1">
      <c r="A39" s="321" t="s">
        <v>172</v>
      </c>
      <c r="B39" s="322"/>
      <c r="C39" s="908" t="s">
        <v>171</v>
      </c>
      <c r="D39" s="322"/>
      <c r="E39" s="908" t="s">
        <v>186</v>
      </c>
    </row>
    <row r="40" spans="1:5" ht="13.15" customHeight="1">
      <c r="A40" s="326" t="s">
        <v>173</v>
      </c>
      <c r="B40" s="322"/>
      <c r="C40" s="327" t="s">
        <v>181</v>
      </c>
      <c r="D40" s="322"/>
      <c r="E40" s="327" t="s">
        <v>194</v>
      </c>
    </row>
    <row r="41" spans="1:5" ht="13.15" customHeight="1">
      <c r="A41" s="330" t="s">
        <v>252</v>
      </c>
      <c r="B41" s="322"/>
      <c r="C41" s="322"/>
      <c r="D41" s="322"/>
      <c r="E41" s="322"/>
    </row>
    <row r="42" spans="1:5" ht="13.15" customHeight="1">
      <c r="A42" s="322" t="s">
        <v>320</v>
      </c>
      <c r="B42" s="322"/>
      <c r="C42" s="524">
        <f>+Alloc!K410</f>
        <v>173766499.9873395</v>
      </c>
      <c r="D42" s="322"/>
      <c r="E42" s="927">
        <f>+Alloc!K411</f>
        <v>0.28950000000000004</v>
      </c>
    </row>
    <row r="43" spans="1:5" ht="13.15" customHeight="1">
      <c r="A43" s="322" t="s">
        <v>321</v>
      </c>
      <c r="B43" s="322"/>
      <c r="C43" s="348">
        <f>+Alloc!M410</f>
        <v>77741984.228214502</v>
      </c>
      <c r="D43" s="322"/>
      <c r="E43" s="382">
        <f>+Alloc!M411</f>
        <v>0.12959999999999999</v>
      </c>
    </row>
    <row r="44" spans="1:5" ht="13.15" customHeight="1">
      <c r="A44" s="322" t="s">
        <v>322</v>
      </c>
      <c r="B44" s="322"/>
      <c r="C44" s="348">
        <f>+Alloc!O410</f>
        <v>19339863.203821175</v>
      </c>
      <c r="D44" s="322"/>
      <c r="E44" s="382">
        <f>+Alloc!O411</f>
        <v>3.2199999999999999E-2</v>
      </c>
    </row>
    <row r="45" spans="1:5" ht="13.15" customHeight="1">
      <c r="A45" s="322" t="s">
        <v>323</v>
      </c>
      <c r="B45" s="322"/>
      <c r="C45" s="348">
        <f>+Alloc!Q410</f>
        <v>19071520.185298745</v>
      </c>
      <c r="D45" s="322"/>
      <c r="E45" s="382">
        <f>+Alloc!Q411</f>
        <v>3.1800000000000002E-2</v>
      </c>
    </row>
    <row r="46" spans="1:5" ht="13.15" customHeight="1">
      <c r="A46" s="322" t="s">
        <v>598</v>
      </c>
      <c r="B46" s="322"/>
      <c r="C46" s="348">
        <f>+Alloc!S410</f>
        <v>21779467</v>
      </c>
      <c r="D46" s="322"/>
      <c r="E46" s="382">
        <f>+Alloc!S411</f>
        <v>3.6299999999999999E-2</v>
      </c>
    </row>
    <row r="47" spans="1:5" ht="13.15" customHeight="1">
      <c r="A47" s="322" t="s">
        <v>425</v>
      </c>
      <c r="B47" s="322"/>
      <c r="C47" s="348">
        <f>+Alloc!U410</f>
        <v>9314645</v>
      </c>
      <c r="D47" s="322"/>
      <c r="E47" s="382">
        <f>+Alloc!U411</f>
        <v>1.55E-2</v>
      </c>
    </row>
    <row r="48" spans="1:5" ht="16.5" customHeight="1">
      <c r="A48" s="330" t="s">
        <v>253</v>
      </c>
      <c r="B48" s="938"/>
      <c r="C48" s="348"/>
      <c r="D48" s="322"/>
      <c r="E48" s="382"/>
    </row>
    <row r="49" spans="1:7" ht="13.15" customHeight="1">
      <c r="A49" s="322" t="s">
        <v>320</v>
      </c>
      <c r="B49" s="322"/>
      <c r="C49" s="348">
        <f>+Alloc!W410</f>
        <v>222514522.65504283</v>
      </c>
      <c r="D49" s="322"/>
      <c r="E49" s="382">
        <f>+Alloc!W411</f>
        <v>0.371</v>
      </c>
    </row>
    <row r="50" spans="1:7" ht="13.15" customHeight="1">
      <c r="A50" s="322" t="s">
        <v>321</v>
      </c>
      <c r="B50" s="322"/>
      <c r="C50" s="348">
        <f>+Alloc!Y410</f>
        <v>44298133.731565014</v>
      </c>
      <c r="D50" s="322"/>
      <c r="E50" s="382">
        <f>+Alloc!Y411</f>
        <v>7.3800000000000004E-2</v>
      </c>
    </row>
    <row r="51" spans="1:7" ht="13.15" customHeight="1">
      <c r="A51" s="322" t="s">
        <v>322</v>
      </c>
      <c r="B51" s="322"/>
      <c r="C51" s="348">
        <f>+Alloc!AA410</f>
        <v>5584440</v>
      </c>
      <c r="D51" s="322"/>
      <c r="E51" s="382">
        <f>+Alloc!AA411</f>
        <v>9.2999999999999992E-3</v>
      </c>
    </row>
    <row r="52" spans="1:7" ht="13.15" customHeight="1">
      <c r="A52" s="322" t="s">
        <v>323</v>
      </c>
      <c r="B52" s="322"/>
      <c r="C52" s="348">
        <f>+Alloc!AC410</f>
        <v>3831162</v>
      </c>
      <c r="D52" s="322"/>
      <c r="E52" s="382">
        <f>+Alloc!AC411</f>
        <v>6.4000000000000003E-3</v>
      </c>
    </row>
    <row r="53" spans="1:7" ht="13.15" customHeight="1">
      <c r="A53" s="322" t="s">
        <v>598</v>
      </c>
      <c r="B53" s="322"/>
      <c r="C53" s="348">
        <f>+Alloc!AE410</f>
        <v>711317</v>
      </c>
      <c r="D53" s="322"/>
      <c r="E53" s="382">
        <f>+Alloc!AE411</f>
        <v>1.1999999999999999E-3</v>
      </c>
    </row>
    <row r="54" spans="1:7" ht="13.15" customHeight="1">
      <c r="A54" s="322" t="s">
        <v>425</v>
      </c>
      <c r="B54" s="322"/>
      <c r="C54" s="348">
        <f>+Alloc!AG410</f>
        <v>2040771</v>
      </c>
      <c r="D54" s="322"/>
      <c r="E54" s="382">
        <f>+Alloc!AG411</f>
        <v>3.3999999999999998E-3</v>
      </c>
    </row>
    <row r="55" spans="1:7" ht="7.9" customHeight="1">
      <c r="A55" s="322"/>
      <c r="B55" s="322"/>
      <c r="C55" s="355"/>
      <c r="D55" s="322"/>
      <c r="E55" s="383"/>
    </row>
    <row r="56" spans="1:7" ht="13.15" customHeight="1">
      <c r="A56" s="322" t="s">
        <v>176</v>
      </c>
      <c r="B56" s="322"/>
      <c r="C56" s="524">
        <f>SUM(C42:C54)</f>
        <v>599994325.99128175</v>
      </c>
      <c r="D56" s="322"/>
      <c r="E56" s="382">
        <f>SUM(E42:E54)</f>
        <v>0.99999999999999989</v>
      </c>
    </row>
    <row r="57" spans="1:7" ht="9" customHeight="1" thickTop="1">
      <c r="A57" s="322"/>
      <c r="B57" s="322"/>
      <c r="C57" s="925"/>
      <c r="D57" s="322"/>
      <c r="E57" s="937"/>
    </row>
    <row r="58" spans="1:7">
      <c r="A58" s="1044" t="s">
        <v>802</v>
      </c>
      <c r="B58" s="1044"/>
      <c r="C58" s="1044"/>
      <c r="D58" s="1044"/>
      <c r="E58" s="1044"/>
      <c r="F58" s="15"/>
      <c r="G58" s="15"/>
    </row>
    <row r="59" spans="1:7" ht="9" customHeight="1">
      <c r="A59" s="321"/>
      <c r="B59" s="321"/>
      <c r="C59" s="321"/>
      <c r="D59" s="321"/>
      <c r="E59" s="321"/>
    </row>
    <row r="60" spans="1:7">
      <c r="A60" s="321" t="s">
        <v>170</v>
      </c>
      <c r="B60" s="321"/>
      <c r="C60" s="321"/>
      <c r="D60" s="321"/>
      <c r="E60" s="321"/>
    </row>
    <row r="61" spans="1:7" ht="8.4499999999999993" customHeight="1">
      <c r="A61" s="322"/>
      <c r="B61" s="322"/>
      <c r="C61" s="322"/>
      <c r="D61" s="322"/>
      <c r="E61" s="322"/>
    </row>
    <row r="62" spans="1:7" ht="9.6" customHeight="1">
      <c r="A62" s="322"/>
      <c r="B62" s="322"/>
      <c r="C62" s="322"/>
      <c r="D62" s="322"/>
      <c r="E62" s="322"/>
    </row>
    <row r="63" spans="1:7" s="174" customFormat="1">
      <c r="A63" s="322" t="s">
        <v>831</v>
      </c>
      <c r="B63" s="322"/>
      <c r="C63" s="322"/>
      <c r="D63" s="322"/>
      <c r="E63" s="322"/>
    </row>
    <row r="64" spans="1:7" s="175" customFormat="1">
      <c r="A64" s="333" t="s">
        <v>832</v>
      </c>
      <c r="B64" s="333"/>
      <c r="C64" s="333"/>
      <c r="D64" s="333"/>
      <c r="E64" s="333"/>
    </row>
    <row r="65" spans="1:5" s="175" customFormat="1" ht="26.25" customHeight="1">
      <c r="A65" s="322" t="s">
        <v>571</v>
      </c>
      <c r="B65" s="322"/>
      <c r="C65" s="926"/>
      <c r="D65" s="322"/>
      <c r="E65" s="332"/>
    </row>
    <row r="66" spans="1:5" s="175" customFormat="1" ht="27.75" customHeight="1">
      <c r="A66" s="322"/>
      <c r="B66" s="322"/>
      <c r="C66" s="908" t="s">
        <v>200</v>
      </c>
      <c r="D66" s="322"/>
      <c r="E66" s="332"/>
    </row>
    <row r="67" spans="1:5" s="175" customFormat="1" ht="15.75" customHeight="1">
      <c r="A67" s="321" t="s">
        <v>171</v>
      </c>
      <c r="B67" s="322"/>
      <c r="C67" s="908" t="s">
        <v>212</v>
      </c>
      <c r="D67" s="322"/>
      <c r="E67" s="908" t="s">
        <v>180</v>
      </c>
    </row>
    <row r="68" spans="1:5" s="175" customFormat="1" ht="15.75" customHeight="1">
      <c r="A68" s="321" t="s">
        <v>172</v>
      </c>
      <c r="B68" s="322"/>
      <c r="C68" s="908" t="s">
        <v>213</v>
      </c>
      <c r="D68" s="322"/>
      <c r="E68" s="908" t="s">
        <v>186</v>
      </c>
    </row>
    <row r="69" spans="1:5" s="175" customFormat="1" ht="15.75" customHeight="1">
      <c r="A69" s="326" t="s">
        <v>173</v>
      </c>
      <c r="B69" s="322"/>
      <c r="C69" s="327" t="s">
        <v>181</v>
      </c>
      <c r="D69" s="322"/>
      <c r="E69" s="327" t="s">
        <v>194</v>
      </c>
    </row>
    <row r="70" spans="1:5" s="175" customFormat="1" ht="15.75" customHeight="1">
      <c r="A70" s="330" t="s">
        <v>252</v>
      </c>
      <c r="B70" s="322"/>
      <c r="C70" s="322"/>
      <c r="D70" s="322"/>
      <c r="E70" s="332"/>
    </row>
    <row r="71" spans="1:5" s="175" customFormat="1" ht="13.15" customHeight="1">
      <c r="A71" s="322" t="s">
        <v>320</v>
      </c>
      <c r="B71" s="322"/>
      <c r="C71" s="524">
        <f>+Alloc!K412</f>
        <v>466849656</v>
      </c>
      <c r="D71" s="322"/>
      <c r="E71" s="927">
        <f>+Alloc!K413</f>
        <v>0.47660000000000002</v>
      </c>
    </row>
    <row r="72" spans="1:5" s="175" customFormat="1" ht="13.15" customHeight="1">
      <c r="A72" s="322" t="s">
        <v>321</v>
      </c>
      <c r="B72" s="322"/>
      <c r="C72" s="348">
        <f>+Alloc!M412</f>
        <v>257489243</v>
      </c>
      <c r="D72" s="322"/>
      <c r="E72" s="382">
        <f>+Alloc!M413</f>
        <v>0.26290000000000002</v>
      </c>
    </row>
    <row r="73" spans="1:5" s="175" customFormat="1" ht="13.15" customHeight="1">
      <c r="A73" s="322" t="s">
        <v>322</v>
      </c>
      <c r="B73" s="322"/>
      <c r="C73" s="348">
        <f>+Alloc!O412</f>
        <v>69786804</v>
      </c>
      <c r="D73" s="322"/>
      <c r="E73" s="382">
        <f>+Alloc!O413</f>
        <v>7.1300000000000002E-2</v>
      </c>
    </row>
    <row r="74" spans="1:5" s="175" customFormat="1" ht="13.15" customHeight="1">
      <c r="A74" s="322" t="s">
        <v>323</v>
      </c>
      <c r="B74" s="322"/>
      <c r="C74" s="348">
        <f>+Alloc!Q412</f>
        <v>68628147</v>
      </c>
      <c r="D74" s="322"/>
      <c r="E74" s="382">
        <f>+Alloc!Q413</f>
        <v>7.0099999999999996E-2</v>
      </c>
    </row>
    <row r="75" spans="1:5" s="175" customFormat="1" ht="13.15" customHeight="1">
      <c r="A75" s="322" t="s">
        <v>598</v>
      </c>
      <c r="B75" s="322"/>
      <c r="C75" s="348">
        <f>+Alloc!S412</f>
        <v>87641896</v>
      </c>
      <c r="D75" s="322"/>
      <c r="E75" s="382">
        <f>+Alloc!S413</f>
        <v>8.9499999999999996E-2</v>
      </c>
    </row>
    <row r="76" spans="1:5" s="175" customFormat="1" ht="13.15" customHeight="1">
      <c r="A76" s="322" t="s">
        <v>425</v>
      </c>
      <c r="B76" s="322"/>
      <c r="C76" s="359">
        <f>+Alloc!U412</f>
        <v>28947772</v>
      </c>
      <c r="D76" s="322"/>
      <c r="E76" s="471">
        <f>+Alloc!U413</f>
        <v>2.9600000000000001E-2</v>
      </c>
    </row>
    <row r="77" spans="1:5" s="175" customFormat="1" ht="13.15" customHeight="1">
      <c r="A77" s="322"/>
      <c r="B77" s="322"/>
      <c r="C77" s="926"/>
      <c r="D77" s="322"/>
      <c r="E77" s="332"/>
    </row>
    <row r="78" spans="1:5" s="175" customFormat="1" ht="13.15" customHeight="1" thickBot="1">
      <c r="A78" s="322" t="s">
        <v>14</v>
      </c>
      <c r="B78" s="322"/>
      <c r="C78" s="545">
        <f>SUM(C71:C77)</f>
        <v>979343518</v>
      </c>
      <c r="D78" s="322"/>
      <c r="E78" s="384">
        <f>SUM(E71:E77)</f>
        <v>1</v>
      </c>
    </row>
    <row r="79" spans="1:5" s="175" customFormat="1" ht="13.15" customHeight="1" thickTop="1">
      <c r="A79" s="322"/>
      <c r="B79" s="322"/>
      <c r="C79" s="926"/>
      <c r="D79" s="322"/>
      <c r="E79" s="332"/>
    </row>
    <row r="80" spans="1:5" s="175" customFormat="1" ht="13.15" customHeight="1">
      <c r="A80" s="322"/>
      <c r="B80" s="322"/>
      <c r="C80" s="926"/>
      <c r="D80" s="322"/>
      <c r="E80" s="332"/>
    </row>
    <row r="81" spans="1:5" s="175" customFormat="1" ht="13.15" customHeight="1">
      <c r="A81" s="322" t="s">
        <v>834</v>
      </c>
      <c r="B81" s="322"/>
      <c r="C81" s="926"/>
      <c r="D81" s="322"/>
      <c r="E81" s="332"/>
    </row>
    <row r="82" spans="1:5" s="175" customFormat="1" ht="14.25" customHeight="1">
      <c r="A82" s="333" t="s">
        <v>833</v>
      </c>
      <c r="B82" s="322"/>
      <c r="C82" s="926"/>
      <c r="D82" s="322"/>
      <c r="E82" s="332"/>
    </row>
    <row r="83" spans="1:5" s="175" customFormat="1" ht="25.5" customHeight="1">
      <c r="A83" s="322" t="s">
        <v>585</v>
      </c>
      <c r="B83" s="322"/>
      <c r="C83" s="926"/>
      <c r="D83" s="322"/>
      <c r="E83" s="332"/>
    </row>
    <row r="84" spans="1:5" s="175" customFormat="1" ht="9" customHeight="1">
      <c r="A84" s="333"/>
      <c r="B84" s="322"/>
      <c r="C84" s="926"/>
      <c r="D84" s="322"/>
      <c r="E84" s="332"/>
    </row>
    <row r="85" spans="1:5" s="175" customFormat="1" ht="13.15" customHeight="1">
      <c r="A85" s="322"/>
      <c r="B85" s="322"/>
      <c r="C85" s="908" t="s">
        <v>200</v>
      </c>
      <c r="D85" s="322"/>
      <c r="E85" s="332"/>
    </row>
    <row r="86" spans="1:5" s="175" customFormat="1" ht="13.15" customHeight="1">
      <c r="A86" s="321" t="s">
        <v>171</v>
      </c>
      <c r="B86" s="322"/>
      <c r="C86" s="908" t="s">
        <v>212</v>
      </c>
      <c r="D86" s="322"/>
      <c r="E86" s="908" t="s">
        <v>180</v>
      </c>
    </row>
    <row r="87" spans="1:5" s="175" customFormat="1" ht="13.15" customHeight="1">
      <c r="A87" s="321" t="s">
        <v>172</v>
      </c>
      <c r="B87" s="322"/>
      <c r="C87" s="908" t="s">
        <v>213</v>
      </c>
      <c r="D87" s="322"/>
      <c r="E87" s="908" t="s">
        <v>186</v>
      </c>
    </row>
    <row r="88" spans="1:5" s="175" customFormat="1" ht="13.15" customHeight="1">
      <c r="A88" s="326" t="s">
        <v>173</v>
      </c>
      <c r="B88" s="322"/>
      <c r="C88" s="327" t="s">
        <v>181</v>
      </c>
      <c r="D88" s="322"/>
      <c r="E88" s="327" t="s">
        <v>194</v>
      </c>
    </row>
    <row r="89" spans="1:5" s="175" customFormat="1" ht="13.15" customHeight="1">
      <c r="A89" s="330" t="s">
        <v>252</v>
      </c>
      <c r="B89" s="322"/>
      <c r="C89" s="322"/>
      <c r="D89" s="322"/>
      <c r="E89" s="332"/>
    </row>
    <row r="90" spans="1:5" s="175" customFormat="1" ht="13.15" customHeight="1">
      <c r="A90" s="322" t="s">
        <v>319</v>
      </c>
      <c r="B90" s="322"/>
      <c r="C90" s="524">
        <f>+Alloc!K414</f>
        <v>720113614</v>
      </c>
      <c r="D90" s="322"/>
      <c r="E90" s="927">
        <f>+Alloc!K415</f>
        <v>0.49220000000000003</v>
      </c>
    </row>
    <row r="91" spans="1:5" s="175" customFormat="1" ht="13.15" customHeight="1">
      <c r="A91" s="322" t="s">
        <v>327</v>
      </c>
      <c r="B91" s="322"/>
      <c r="C91" s="348">
        <f>+Alloc!M414</f>
        <v>397176065</v>
      </c>
      <c r="D91" s="322"/>
      <c r="E91" s="382">
        <f>+Alloc!M415</f>
        <v>0.27150000000000002</v>
      </c>
    </row>
    <row r="92" spans="1:5" s="175" customFormat="1" ht="13.15" customHeight="1">
      <c r="A92" s="322" t="s">
        <v>328</v>
      </c>
      <c r="B92" s="322"/>
      <c r="C92" s="348">
        <f>+Alloc!O414</f>
        <v>107645849</v>
      </c>
      <c r="D92" s="322"/>
      <c r="E92" s="382">
        <f>+Alloc!O415</f>
        <v>7.3599999999999999E-2</v>
      </c>
    </row>
    <row r="93" spans="1:5" s="175" customFormat="1" ht="13.15" customHeight="1">
      <c r="A93" s="322" t="s">
        <v>329</v>
      </c>
      <c r="B93" s="322"/>
      <c r="C93" s="348">
        <f>+Alloc!Q414</f>
        <v>105858626</v>
      </c>
      <c r="D93" s="322"/>
      <c r="E93" s="382">
        <f>+Alloc!Q415</f>
        <v>7.2400000000000006E-2</v>
      </c>
    </row>
    <row r="94" spans="1:5" s="175" customFormat="1" ht="13.15" customHeight="1">
      <c r="A94" s="322" t="s">
        <v>463</v>
      </c>
      <c r="B94" s="322"/>
      <c r="C94" s="348">
        <f>+Alloc!S414</f>
        <v>87641896</v>
      </c>
      <c r="D94" s="322"/>
      <c r="E94" s="382">
        <f>+Alloc!S415</f>
        <v>5.9900000000000002E-2</v>
      </c>
    </row>
    <row r="95" spans="1:5" s="175" customFormat="1" ht="13.15" customHeight="1">
      <c r="A95" s="322" t="s">
        <v>599</v>
      </c>
      <c r="B95" s="322"/>
      <c r="C95" s="359">
        <f>+Alloc!U414</f>
        <v>44420179</v>
      </c>
      <c r="D95" s="322"/>
      <c r="E95" s="471">
        <f>+Alloc!U415</f>
        <v>3.04E-2</v>
      </c>
    </row>
    <row r="96" spans="1:5" s="175" customFormat="1" ht="9.6" customHeight="1">
      <c r="A96" s="322"/>
      <c r="B96" s="322"/>
      <c r="C96" s="926"/>
      <c r="D96" s="322"/>
      <c r="E96" s="332"/>
    </row>
    <row r="97" spans="1:10" s="175" customFormat="1" ht="13.15" customHeight="1" thickBot="1">
      <c r="A97" s="322" t="s">
        <v>176</v>
      </c>
      <c r="B97" s="322"/>
      <c r="C97" s="545">
        <f>SUM(C90:C96)</f>
        <v>1462856229</v>
      </c>
      <c r="D97" s="322"/>
      <c r="E97" s="384">
        <f>SUM(E90:E96)</f>
        <v>1</v>
      </c>
    </row>
    <row r="98" spans="1:10" s="175" customFormat="1" ht="15.75" customHeight="1" thickTop="1">
      <c r="A98" s="322"/>
      <c r="B98" s="322"/>
      <c r="C98" s="926"/>
      <c r="D98" s="322"/>
      <c r="E98" s="332"/>
    </row>
    <row r="99" spans="1:10" s="175" customFormat="1" ht="15.75" customHeight="1">
      <c r="A99" s="923" t="s">
        <v>802</v>
      </c>
      <c r="B99" s="321"/>
      <c r="C99" s="321"/>
      <c r="D99" s="321"/>
      <c r="E99" s="321"/>
    </row>
    <row r="100" spans="1:10" s="175" customFormat="1" ht="15.75" customHeight="1">
      <c r="A100" s="321"/>
      <c r="B100" s="321"/>
      <c r="C100" s="321"/>
      <c r="D100" s="321"/>
      <c r="E100" s="321"/>
    </row>
    <row r="101" spans="1:10" s="175" customFormat="1" ht="15.75" customHeight="1">
      <c r="A101" s="321" t="s">
        <v>170</v>
      </c>
      <c r="B101" s="321"/>
      <c r="C101" s="321"/>
      <c r="D101" s="321"/>
      <c r="E101" s="321"/>
    </row>
    <row r="102" spans="1:10" s="174" customFormat="1">
      <c r="A102" s="333"/>
      <c r="B102" s="333"/>
      <c r="C102" s="928"/>
      <c r="D102" s="333"/>
      <c r="E102" s="929"/>
    </row>
    <row r="103" spans="1:10">
      <c r="A103" s="322" t="s">
        <v>835</v>
      </c>
      <c r="B103" s="322"/>
      <c r="C103" s="322"/>
      <c r="D103" s="322"/>
      <c r="E103" s="322"/>
    </row>
    <row r="104" spans="1:10" ht="7.15" customHeight="1">
      <c r="A104" s="333"/>
      <c r="B104" s="333"/>
      <c r="C104" s="333"/>
      <c r="D104" s="333"/>
      <c r="E104" s="333"/>
    </row>
    <row r="105" spans="1:10">
      <c r="A105" s="322" t="s">
        <v>575</v>
      </c>
      <c r="B105" s="333"/>
      <c r="C105" s="333"/>
      <c r="D105" s="333"/>
      <c r="E105" s="333"/>
      <c r="F105" s="36"/>
      <c r="G105" s="36"/>
      <c r="H105" s="36"/>
      <c r="I105" s="36"/>
      <c r="J105" s="36"/>
    </row>
    <row r="106" spans="1:10" ht="10.15" customHeight="1">
      <c r="A106" s="333"/>
      <c r="B106" s="333"/>
      <c r="C106" s="333"/>
      <c r="D106" s="333"/>
      <c r="E106" s="333"/>
      <c r="F106" s="36"/>
      <c r="G106" s="36"/>
      <c r="H106" s="36"/>
      <c r="I106" s="36"/>
      <c r="J106" s="36"/>
    </row>
    <row r="107" spans="1:10">
      <c r="A107" s="321" t="s">
        <v>171</v>
      </c>
      <c r="B107" s="322"/>
      <c r="C107" s="930" t="s">
        <v>617</v>
      </c>
      <c r="D107" s="322"/>
      <c r="E107" s="908" t="s">
        <v>180</v>
      </c>
      <c r="F107" s="36"/>
      <c r="G107" s="36"/>
      <c r="H107" s="36"/>
      <c r="I107" s="36"/>
      <c r="J107" s="36"/>
    </row>
    <row r="108" spans="1:10">
      <c r="A108" s="321" t="s">
        <v>172</v>
      </c>
      <c r="B108" s="322"/>
      <c r="C108" s="909" t="s">
        <v>618</v>
      </c>
      <c r="D108" s="322"/>
      <c r="E108" s="908" t="s">
        <v>186</v>
      </c>
      <c r="F108" s="36"/>
      <c r="G108" s="36"/>
      <c r="H108" s="36"/>
      <c r="I108" s="36"/>
      <c r="J108" s="36"/>
    </row>
    <row r="109" spans="1:10">
      <c r="A109" s="326" t="s">
        <v>173</v>
      </c>
      <c r="B109" s="322"/>
      <c r="C109" s="327" t="s">
        <v>181</v>
      </c>
      <c r="D109" s="322"/>
      <c r="E109" s="327" t="s">
        <v>194</v>
      </c>
      <c r="F109" s="36"/>
      <c r="G109" s="36"/>
      <c r="H109" s="36"/>
      <c r="I109" s="36"/>
      <c r="J109" s="36"/>
    </row>
    <row r="110" spans="1:10">
      <c r="A110" s="330" t="s">
        <v>253</v>
      </c>
      <c r="B110" s="322"/>
      <c r="C110" s="322"/>
      <c r="D110" s="322"/>
      <c r="E110" s="322"/>
      <c r="F110" s="36"/>
      <c r="G110" s="36"/>
      <c r="H110" s="36"/>
      <c r="I110" s="36"/>
      <c r="J110" s="36"/>
    </row>
    <row r="111" spans="1:10">
      <c r="A111" s="322" t="s">
        <v>319</v>
      </c>
      <c r="B111" s="322"/>
      <c r="C111" s="524">
        <v>8403679.6930174846</v>
      </c>
      <c r="D111" s="322"/>
      <c r="E111" s="911">
        <f>ROUND(+C111/C$118,4)</f>
        <v>0.94769999999999999</v>
      </c>
      <c r="F111" s="36"/>
      <c r="G111" s="36"/>
      <c r="H111" s="36"/>
      <c r="I111" s="36"/>
      <c r="J111" s="36"/>
    </row>
    <row r="112" spans="1:10">
      <c r="A112" s="322" t="s">
        <v>327</v>
      </c>
      <c r="B112" s="322"/>
      <c r="C112" s="348">
        <v>385524.56968394999</v>
      </c>
      <c r="D112" s="322"/>
      <c r="E112" s="911">
        <f t="shared" ref="E112:E116" si="0">ROUND(+C112/C$118,4)</f>
        <v>4.3499999999999997E-2</v>
      </c>
      <c r="F112" s="36"/>
      <c r="G112" s="36"/>
      <c r="H112" s="36"/>
      <c r="I112" s="36"/>
      <c r="J112" s="36"/>
    </row>
    <row r="113" spans="1:11">
      <c r="A113" s="322" t="s">
        <v>328</v>
      </c>
      <c r="B113" s="322"/>
      <c r="C113" s="348">
        <v>5353.3139632161829</v>
      </c>
      <c r="D113" s="322"/>
      <c r="E113" s="911">
        <f t="shared" si="0"/>
        <v>5.9999999999999995E-4</v>
      </c>
      <c r="F113" s="36"/>
      <c r="G113" s="142"/>
      <c r="H113" s="231"/>
      <c r="I113" s="231"/>
      <c r="J113" s="231"/>
      <c r="K113" s="4"/>
    </row>
    <row r="114" spans="1:11">
      <c r="A114" s="322" t="s">
        <v>329</v>
      </c>
      <c r="B114" s="322"/>
      <c r="C114" s="348">
        <v>54890.527138433179</v>
      </c>
      <c r="D114" s="322"/>
      <c r="E114" s="911">
        <f t="shared" si="0"/>
        <v>6.1999999999999998E-3</v>
      </c>
      <c r="F114" s="36"/>
      <c r="G114" s="142"/>
      <c r="H114" s="233"/>
      <c r="I114" s="233"/>
      <c r="J114" s="233"/>
      <c r="K114" s="4"/>
    </row>
    <row r="115" spans="1:11">
      <c r="A115" s="322" t="s">
        <v>463</v>
      </c>
      <c r="B115" s="322"/>
      <c r="C115" s="348">
        <v>18069.2</v>
      </c>
      <c r="D115" s="322"/>
      <c r="E115" s="911">
        <f t="shared" si="0"/>
        <v>2E-3</v>
      </c>
      <c r="F115" s="36"/>
      <c r="G115" s="142"/>
      <c r="H115" s="233"/>
      <c r="I115" s="233"/>
      <c r="J115" s="233"/>
      <c r="K115" s="4"/>
    </row>
    <row r="116" spans="1:11" s="36" customFormat="1">
      <c r="A116" s="333" t="s">
        <v>599</v>
      </c>
      <c r="B116" s="333"/>
      <c r="C116" s="359">
        <v>0</v>
      </c>
      <c r="D116" s="333"/>
      <c r="E116" s="471">
        <f t="shared" si="0"/>
        <v>0</v>
      </c>
      <c r="G116" s="142"/>
      <c r="H116" s="233"/>
      <c r="I116" s="233"/>
      <c r="J116" s="233"/>
      <c r="K116" s="142"/>
    </row>
    <row r="117" spans="1:11" ht="10.9" customHeight="1">
      <c r="A117" s="322"/>
      <c r="B117" s="322"/>
      <c r="C117" s="348"/>
      <c r="D117" s="322"/>
      <c r="E117" s="382"/>
      <c r="F117" s="36"/>
      <c r="G117" s="142"/>
      <c r="H117" s="233"/>
      <c r="I117" s="233"/>
      <c r="J117" s="233"/>
      <c r="K117" s="4"/>
    </row>
    <row r="118" spans="1:11" ht="15.75" thickBot="1">
      <c r="A118" s="322" t="s">
        <v>176</v>
      </c>
      <c r="B118" s="322"/>
      <c r="C118" s="545">
        <f>SUM(C111:C117)</f>
        <v>8867517.3038030826</v>
      </c>
      <c r="D118" s="322"/>
      <c r="E118" s="384">
        <f>SUM(E111:E116)</f>
        <v>1</v>
      </c>
      <c r="F118" s="36"/>
      <c r="G118" s="142"/>
      <c r="H118" s="233"/>
      <c r="I118" s="233"/>
      <c r="J118" s="233"/>
      <c r="K118" s="4"/>
    </row>
    <row r="119" spans="1:11" ht="15.75" thickTop="1">
      <c r="A119" s="322"/>
      <c r="B119" s="322"/>
      <c r="C119" s="929"/>
      <c r="D119" s="322"/>
      <c r="E119" s="322"/>
      <c r="F119" s="36"/>
      <c r="G119" s="142"/>
      <c r="H119" s="233"/>
      <c r="I119" s="233"/>
      <c r="J119" s="233"/>
      <c r="K119" s="4"/>
    </row>
    <row r="120" spans="1:11" ht="6.6" customHeight="1">
      <c r="A120" s="321"/>
      <c r="B120" s="321"/>
      <c r="C120" s="321"/>
      <c r="D120" s="321"/>
      <c r="E120" s="321"/>
      <c r="F120" s="36"/>
      <c r="G120" s="142"/>
      <c r="H120" s="235"/>
      <c r="I120" s="235"/>
      <c r="J120" s="235"/>
      <c r="K120" s="4"/>
    </row>
    <row r="121" spans="1:11" ht="17.25" customHeight="1">
      <c r="A121" s="322" t="s">
        <v>836</v>
      </c>
      <c r="B121" s="322"/>
      <c r="C121" s="322"/>
      <c r="D121" s="322"/>
      <c r="E121" s="322"/>
      <c r="F121" s="36"/>
      <c r="G121" s="142"/>
      <c r="H121" s="233"/>
      <c r="I121" s="233"/>
      <c r="J121" s="233"/>
      <c r="K121" s="4"/>
    </row>
    <row r="122" spans="1:11" ht="10.9" customHeight="1">
      <c r="A122" s="333"/>
      <c r="B122" s="333"/>
      <c r="C122" s="333"/>
      <c r="D122" s="333"/>
      <c r="E122" s="333"/>
      <c r="F122" s="36"/>
      <c r="G122" s="142"/>
      <c r="H122" s="233"/>
      <c r="I122" s="233"/>
      <c r="J122" s="233"/>
      <c r="K122" s="4"/>
    </row>
    <row r="123" spans="1:11">
      <c r="A123" s="322" t="s">
        <v>570</v>
      </c>
      <c r="B123" s="333"/>
      <c r="C123" s="333"/>
      <c r="D123" s="333"/>
      <c r="E123" s="333"/>
      <c r="F123" s="36"/>
      <c r="G123" s="36"/>
      <c r="H123" s="142"/>
      <c r="I123" s="142"/>
      <c r="J123" s="142"/>
    </row>
    <row r="124" spans="1:11" ht="9" customHeight="1">
      <c r="A124" s="333"/>
      <c r="B124" s="333"/>
      <c r="C124" s="333"/>
      <c r="D124" s="333"/>
      <c r="E124" s="333"/>
      <c r="F124" s="36"/>
      <c r="G124" s="36"/>
      <c r="H124" s="235"/>
      <c r="I124" s="235"/>
      <c r="J124" s="235"/>
    </row>
    <row r="125" spans="1:11">
      <c r="A125" s="321" t="s">
        <v>171</v>
      </c>
      <c r="B125" s="322"/>
      <c r="C125" s="322"/>
      <c r="D125" s="322"/>
      <c r="E125" s="908" t="s">
        <v>180</v>
      </c>
      <c r="F125" s="173"/>
      <c r="G125" s="173"/>
      <c r="H125" s="36"/>
      <c r="I125" s="237"/>
      <c r="J125" s="36"/>
    </row>
    <row r="126" spans="1:11" ht="14.45" customHeight="1">
      <c r="A126" s="321" t="s">
        <v>172</v>
      </c>
      <c r="B126" s="322"/>
      <c r="C126" s="932" t="s">
        <v>549</v>
      </c>
      <c r="D126" s="322"/>
      <c r="E126" s="908" t="s">
        <v>186</v>
      </c>
      <c r="F126" s="242"/>
      <c r="G126" s="242"/>
      <c r="H126" s="242"/>
      <c r="I126" s="242"/>
      <c r="J126" s="36"/>
    </row>
    <row r="127" spans="1:11">
      <c r="A127" s="326" t="s">
        <v>173</v>
      </c>
      <c r="B127" s="322"/>
      <c r="C127" s="327" t="s">
        <v>181</v>
      </c>
      <c r="D127" s="322"/>
      <c r="E127" s="327" t="s">
        <v>194</v>
      </c>
      <c r="F127" s="173"/>
      <c r="G127" s="142"/>
      <c r="H127" s="132"/>
      <c r="I127" s="142"/>
      <c r="J127" s="36"/>
    </row>
    <row r="128" spans="1:11">
      <c r="A128" s="330" t="s">
        <v>253</v>
      </c>
      <c r="B128" s="322"/>
      <c r="C128" s="322"/>
      <c r="D128" s="322"/>
      <c r="E128" s="322"/>
      <c r="F128" s="173"/>
      <c r="G128" s="142"/>
      <c r="H128" s="132"/>
      <c r="I128" s="142"/>
      <c r="J128" s="36"/>
    </row>
    <row r="129" spans="1:10">
      <c r="A129" s="322" t="s">
        <v>319</v>
      </c>
      <c r="B129" s="322"/>
      <c r="C129" s="524">
        <v>3266723.6000000006</v>
      </c>
      <c r="D129" s="322"/>
      <c r="E129" s="911">
        <f>ROUND(+C129/C$136,6)</f>
        <v>0.66559199999999996</v>
      </c>
      <c r="F129" s="173"/>
      <c r="G129" s="142"/>
      <c r="H129" s="132"/>
      <c r="I129" s="142"/>
      <c r="J129" s="36"/>
    </row>
    <row r="130" spans="1:10">
      <c r="A130" s="322" t="s">
        <v>327</v>
      </c>
      <c r="B130" s="322"/>
      <c r="C130" s="348">
        <v>1349010.1</v>
      </c>
      <c r="D130" s="322"/>
      <c r="E130" s="911">
        <f t="shared" ref="E130:E134" si="1">ROUND(+C130/C$136,6)</f>
        <v>0.27485900000000002</v>
      </c>
      <c r="F130" s="173"/>
      <c r="G130" s="142"/>
      <c r="H130" s="132"/>
      <c r="I130" s="133"/>
      <c r="J130" s="36"/>
    </row>
    <row r="131" spans="1:10">
      <c r="A131" s="322" t="s">
        <v>328</v>
      </c>
      <c r="B131" s="322"/>
      <c r="C131" s="348">
        <v>288843.69999999995</v>
      </c>
      <c r="D131" s="322"/>
      <c r="E131" s="911">
        <f t="shared" si="1"/>
        <v>5.8852000000000002E-2</v>
      </c>
      <c r="F131" s="173"/>
      <c r="G131" s="173"/>
      <c r="H131" s="36"/>
      <c r="I131" s="36"/>
      <c r="J131" s="36"/>
    </row>
    <row r="132" spans="1:10">
      <c r="A132" s="322" t="s">
        <v>329</v>
      </c>
      <c r="B132" s="322"/>
      <c r="C132" s="348">
        <v>2310</v>
      </c>
      <c r="D132" s="322"/>
      <c r="E132" s="911">
        <f t="shared" si="1"/>
        <v>4.7100000000000001E-4</v>
      </c>
      <c r="F132" s="173"/>
      <c r="G132" s="173"/>
      <c r="H132" s="36"/>
      <c r="I132" s="36"/>
      <c r="J132" s="36"/>
    </row>
    <row r="133" spans="1:10">
      <c r="A133" s="322" t="s">
        <v>463</v>
      </c>
      <c r="B133" s="322"/>
      <c r="C133" s="348">
        <v>77</v>
      </c>
      <c r="D133" s="322"/>
      <c r="E133" s="911">
        <f t="shared" si="1"/>
        <v>1.5999999999999999E-5</v>
      </c>
      <c r="F133" s="173"/>
      <c r="G133" s="173"/>
      <c r="H133" s="36"/>
      <c r="I133" s="36"/>
      <c r="J133" s="36"/>
    </row>
    <row r="134" spans="1:10">
      <c r="A134" s="333" t="s">
        <v>599</v>
      </c>
      <c r="B134" s="333"/>
      <c r="C134" s="359">
        <v>1035.6000000000001</v>
      </c>
      <c r="D134" s="333"/>
      <c r="E134" s="471">
        <f t="shared" si="1"/>
        <v>2.1100000000000001E-4</v>
      </c>
      <c r="F134" s="36"/>
      <c r="G134" s="36"/>
      <c r="H134" s="36"/>
      <c r="I134" s="36"/>
      <c r="J134" s="36"/>
    </row>
    <row r="135" spans="1:10" ht="12" customHeight="1">
      <c r="A135" s="322"/>
      <c r="B135" s="322"/>
      <c r="C135" s="348"/>
      <c r="D135" s="322"/>
      <c r="E135" s="382"/>
      <c r="F135" s="18"/>
      <c r="G135" s="18"/>
    </row>
    <row r="136" spans="1:10" ht="15.75" thickBot="1">
      <c r="A136" s="322" t="s">
        <v>176</v>
      </c>
      <c r="B136" s="322"/>
      <c r="C136" s="545">
        <f>SUM(C129:C135)</f>
        <v>4908000.0000000009</v>
      </c>
      <c r="D136" s="322"/>
      <c r="E136" s="384">
        <f>SUM(E129:E134)</f>
        <v>1.0000009999999999</v>
      </c>
      <c r="F136" s="18"/>
      <c r="G136" s="18"/>
    </row>
    <row r="137" spans="1:10" ht="15.75" thickTop="1">
      <c r="A137" s="322"/>
      <c r="B137" s="322"/>
      <c r="C137" s="929"/>
      <c r="D137" s="322"/>
      <c r="E137" s="322"/>
      <c r="F137" s="18"/>
      <c r="G137" s="18"/>
    </row>
    <row r="138" spans="1:10" ht="15.75" thickBot="1">
      <c r="A138" s="322"/>
      <c r="B138" s="322"/>
      <c r="C138" s="934"/>
      <c r="D138" s="322"/>
      <c r="E138" s="933"/>
      <c r="F138" s="18"/>
      <c r="G138" s="18"/>
    </row>
    <row r="139" spans="1:10" ht="15.75" thickTop="1">
      <c r="A139" s="333"/>
      <c r="B139" s="333"/>
      <c r="C139" s="928"/>
      <c r="D139" s="333"/>
      <c r="E139" s="929"/>
      <c r="F139" s="18"/>
      <c r="G139" s="18"/>
    </row>
    <row r="140" spans="1:10">
      <c r="A140" s="322"/>
      <c r="B140" s="322"/>
      <c r="C140" s="322"/>
      <c r="D140" s="322"/>
      <c r="E140" s="322"/>
      <c r="F140" s="18"/>
      <c r="G140" s="18"/>
    </row>
    <row r="141" spans="1:10">
      <c r="A141" s="333"/>
      <c r="B141" s="333"/>
      <c r="C141" s="333"/>
      <c r="D141" s="333"/>
      <c r="E141" s="333"/>
    </row>
    <row r="142" spans="1:10">
      <c r="A142" s="322"/>
      <c r="B142" s="333"/>
      <c r="C142" s="333"/>
      <c r="D142" s="333"/>
      <c r="E142" s="333"/>
    </row>
    <row r="143" spans="1:10">
      <c r="A143" s="333"/>
      <c r="B143" s="333"/>
      <c r="C143" s="333"/>
      <c r="D143" s="333"/>
      <c r="E143" s="333"/>
    </row>
    <row r="144" spans="1:10">
      <c r="A144" s="322"/>
      <c r="B144" s="322"/>
      <c r="C144" s="322"/>
      <c r="D144" s="322"/>
      <c r="E144" s="322"/>
    </row>
    <row r="145" spans="1:11">
      <c r="A145" s="321"/>
      <c r="B145" s="322"/>
      <c r="C145" s="908"/>
      <c r="D145" s="322"/>
      <c r="E145" s="322"/>
    </row>
    <row r="146" spans="1:11">
      <c r="A146" s="321"/>
      <c r="B146" s="322"/>
      <c r="C146" s="908"/>
      <c r="D146" s="322"/>
      <c r="E146" s="322"/>
    </row>
    <row r="147" spans="1:11">
      <c r="A147" s="326"/>
      <c r="B147" s="322"/>
      <c r="C147" s="935"/>
      <c r="D147" s="322"/>
      <c r="E147" s="322"/>
    </row>
    <row r="148" spans="1:11">
      <c r="A148" s="330"/>
      <c r="B148" s="322"/>
      <c r="C148" s="322"/>
      <c r="D148" s="322"/>
      <c r="E148" s="322"/>
    </row>
    <row r="149" spans="1:11">
      <c r="A149" s="322"/>
      <c r="B149" s="322"/>
      <c r="C149" s="936"/>
      <c r="D149" s="322"/>
      <c r="E149" s="322"/>
    </row>
    <row r="150" spans="1:11">
      <c r="A150" s="322"/>
      <c r="B150" s="322"/>
      <c r="C150" s="936"/>
      <c r="D150" s="322"/>
      <c r="E150" s="322"/>
    </row>
    <row r="151" spans="1:11">
      <c r="A151" s="322"/>
      <c r="B151" s="322"/>
      <c r="C151" s="936"/>
      <c r="D151" s="322"/>
      <c r="E151" s="322"/>
    </row>
    <row r="152" spans="1:11">
      <c r="A152" s="322"/>
      <c r="B152" s="322"/>
      <c r="C152" s="936"/>
      <c r="D152" s="322"/>
      <c r="E152" s="322"/>
    </row>
    <row r="153" spans="1:11">
      <c r="A153" s="322"/>
      <c r="B153" s="322"/>
      <c r="C153" s="929"/>
      <c r="D153" s="322"/>
      <c r="E153" s="322"/>
    </row>
    <row r="154" spans="1:11">
      <c r="A154" s="322"/>
      <c r="B154" s="322"/>
      <c r="C154" s="931"/>
      <c r="D154" s="322"/>
      <c r="E154" s="322"/>
    </row>
    <row r="155" spans="1:11">
      <c r="A155" s="322"/>
      <c r="B155" s="322"/>
      <c r="C155" s="929"/>
      <c r="D155" s="322"/>
      <c r="E155" s="322"/>
    </row>
    <row r="156" spans="1:11">
      <c r="A156" s="322"/>
      <c r="B156" s="322"/>
      <c r="C156" s="332"/>
      <c r="D156" s="322"/>
      <c r="E156" s="322"/>
    </row>
    <row r="157" spans="1:11">
      <c r="A157" s="322"/>
      <c r="B157" s="322"/>
      <c r="C157" s="322"/>
      <c r="D157" s="322"/>
      <c r="E157" s="322"/>
    </row>
    <row r="158" spans="1:11">
      <c r="A158" s="321"/>
      <c r="B158" s="321"/>
      <c r="C158" s="321"/>
      <c r="D158" s="321"/>
      <c r="E158" s="321"/>
      <c r="F158" s="36"/>
      <c r="G158" s="142"/>
      <c r="H158" s="235"/>
      <c r="I158" s="235"/>
      <c r="J158" s="235"/>
      <c r="K158" s="4"/>
    </row>
    <row r="159" spans="1:11" ht="17.25" customHeight="1">
      <c r="A159" s="321"/>
      <c r="B159" s="321"/>
      <c r="C159" s="321"/>
      <c r="D159" s="321"/>
      <c r="E159" s="321"/>
      <c r="F159" s="36"/>
      <c r="G159" s="142"/>
      <c r="H159" s="233"/>
      <c r="I159" s="233"/>
      <c r="J159" s="233"/>
      <c r="K159" s="4"/>
    </row>
    <row r="160" spans="1:11">
      <c r="A160" s="321"/>
      <c r="B160" s="321"/>
      <c r="C160" s="321"/>
      <c r="D160" s="321"/>
      <c r="E160" s="321"/>
      <c r="F160" s="36"/>
      <c r="G160" s="142"/>
      <c r="H160" s="233"/>
      <c r="I160" s="233"/>
      <c r="J160" s="233"/>
      <c r="K160" s="4"/>
    </row>
    <row r="161" spans="1:10">
      <c r="A161" s="322"/>
      <c r="B161" s="322"/>
      <c r="C161" s="322"/>
      <c r="D161" s="322"/>
      <c r="E161" s="322"/>
      <c r="F161" s="36"/>
      <c r="G161" s="36"/>
      <c r="H161" s="142"/>
      <c r="I161" s="142"/>
      <c r="J161" s="142"/>
    </row>
    <row r="162" spans="1:10">
      <c r="A162" s="322"/>
      <c r="B162" s="322"/>
      <c r="C162" s="322"/>
      <c r="D162" s="322"/>
      <c r="E162" s="322"/>
    </row>
    <row r="163" spans="1:10">
      <c r="A163" s="333"/>
      <c r="B163" s="333"/>
      <c r="C163" s="333"/>
      <c r="D163" s="322"/>
      <c r="E163" s="322"/>
    </row>
    <row r="164" spans="1:10">
      <c r="A164" s="322"/>
      <c r="B164" s="333"/>
      <c r="C164" s="333"/>
      <c r="D164" s="322"/>
      <c r="E164" s="322"/>
    </row>
    <row r="165" spans="1:10">
      <c r="A165" s="333"/>
      <c r="B165" s="333"/>
      <c r="C165" s="333"/>
      <c r="D165" s="322"/>
      <c r="E165" s="322"/>
    </row>
    <row r="166" spans="1:10">
      <c r="A166" s="322"/>
      <c r="B166" s="322"/>
      <c r="C166" s="322"/>
      <c r="D166" s="322"/>
      <c r="E166" s="322"/>
    </row>
    <row r="167" spans="1:10">
      <c r="A167" s="321"/>
      <c r="B167" s="322"/>
      <c r="C167" s="908"/>
      <c r="D167" s="322"/>
      <c r="E167" s="322"/>
    </row>
    <row r="168" spans="1:10">
      <c r="A168" s="321"/>
      <c r="B168" s="322"/>
      <c r="C168" s="908"/>
      <c r="D168" s="322"/>
      <c r="E168" s="322"/>
    </row>
    <row r="169" spans="1:10">
      <c r="A169" s="326"/>
      <c r="B169" s="322"/>
      <c r="C169" s="935"/>
      <c r="D169" s="322"/>
      <c r="E169" s="322"/>
    </row>
    <row r="170" spans="1:10">
      <c r="A170" s="330"/>
      <c r="B170" s="322"/>
      <c r="C170" s="322"/>
      <c r="D170" s="322"/>
      <c r="E170" s="322"/>
    </row>
    <row r="171" spans="1:10">
      <c r="A171" s="322"/>
      <c r="B171" s="322"/>
      <c r="C171" s="929"/>
      <c r="D171" s="322"/>
      <c r="E171" s="322"/>
    </row>
    <row r="172" spans="1:10">
      <c r="A172" s="322"/>
      <c r="B172" s="322"/>
      <c r="C172" s="929"/>
      <c r="D172" s="322"/>
      <c r="E172" s="322"/>
    </row>
    <row r="173" spans="1:10">
      <c r="A173" s="322"/>
      <c r="B173" s="322"/>
      <c r="C173" s="929"/>
      <c r="D173" s="322"/>
      <c r="E173" s="322"/>
    </row>
    <row r="174" spans="1:10">
      <c r="A174" s="322"/>
      <c r="B174" s="322"/>
      <c r="C174" s="929"/>
      <c r="D174" s="322"/>
      <c r="E174" s="322"/>
    </row>
    <row r="175" spans="1:10">
      <c r="A175" s="4"/>
      <c r="B175" s="4"/>
      <c r="C175" s="133"/>
    </row>
    <row r="176" spans="1:10">
      <c r="A176" s="4"/>
      <c r="B176" s="4"/>
      <c r="C176" s="305"/>
    </row>
    <row r="177" spans="1:3">
      <c r="A177" s="4"/>
      <c r="B177" s="4"/>
      <c r="C177" s="133"/>
    </row>
    <row r="178" spans="1:3">
      <c r="A178" s="4"/>
      <c r="B178" s="4"/>
      <c r="C178" s="12"/>
    </row>
  </sheetData>
  <mergeCells count="2">
    <mergeCell ref="A1:E1"/>
    <mergeCell ref="A58:E58"/>
  </mergeCells>
  <phoneticPr fontId="9" type="noConversion"/>
  <printOptions horizontalCentered="1"/>
  <pageMargins left="0.4" right="0.4" top="1" bottom="0.2" header="0" footer="0"/>
  <pageSetup scale="96" orientation="portrait" r:id="rId1"/>
  <headerFooter alignWithMargins="0"/>
  <rowBreaks count="3" manualBreakCount="3">
    <brk id="57" max="4" man="1"/>
    <brk id="98" max="4" man="1"/>
    <brk id="15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84"/>
  <sheetViews>
    <sheetView workbookViewId="0">
      <selection activeCell="R16" sqref="R16"/>
    </sheetView>
  </sheetViews>
  <sheetFormatPr defaultColWidth="9.6640625" defaultRowHeight="15"/>
  <cols>
    <col min="1" max="1" width="6" style="1" customWidth="1"/>
    <col min="2" max="2" width="1.44140625" style="1" customWidth="1"/>
    <col min="3" max="3" width="30.21875" style="1" customWidth="1"/>
    <col min="4" max="4" width="3" style="1" customWidth="1"/>
    <col min="5" max="5" width="13.88671875" style="1" customWidth="1"/>
    <col min="6" max="6" width="1.6640625" style="1" customWidth="1"/>
    <col min="7" max="7" width="13.33203125" style="1" bestFit="1" customWidth="1"/>
    <col min="8" max="8" width="1.5546875" style="1" customWidth="1"/>
    <col min="9" max="9" width="12.21875" style="1" bestFit="1" customWidth="1"/>
    <col min="10" max="10" width="1.21875" style="1" customWidth="1"/>
    <col min="11" max="11" width="11.21875" style="1" bestFit="1" customWidth="1"/>
    <col min="12" max="12" width="1.6640625" style="1" customWidth="1"/>
    <col min="13" max="13" width="11.21875" style="1" bestFit="1" customWidth="1"/>
    <col min="14" max="14" width="1.5546875" style="1" customWidth="1"/>
    <col min="15" max="15" width="12.21875" style="1" bestFit="1" customWidth="1"/>
    <col min="16" max="16" width="1.33203125" style="1" customWidth="1"/>
    <col min="17" max="17" width="11.109375" style="1" customWidth="1"/>
    <col min="18" max="16384" width="9.6640625" style="1"/>
  </cols>
  <sheetData>
    <row r="1" spans="1:17">
      <c r="A1" s="1030" t="s">
        <v>802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</row>
    <row r="2" spans="1:17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</row>
    <row r="3" spans="1:17">
      <c r="A3" s="1030" t="s">
        <v>216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</row>
    <row r="4" spans="1:17" ht="7.9" customHeight="1">
      <c r="A4" s="1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8"/>
    </row>
    <row r="5" spans="1:17">
      <c r="A5" s="34"/>
      <c r="B5" s="11"/>
      <c r="C5" s="34"/>
      <c r="D5" s="34"/>
      <c r="E5" s="130" t="s">
        <v>215</v>
      </c>
      <c r="F5" s="130"/>
      <c r="G5" s="60"/>
      <c r="H5" s="34"/>
      <c r="I5" s="130"/>
      <c r="J5" s="34"/>
      <c r="K5" s="60"/>
      <c r="L5" s="60"/>
      <c r="M5" s="60"/>
      <c r="N5" s="34"/>
      <c r="O5" s="69"/>
    </row>
    <row r="6" spans="1:17">
      <c r="A6" s="219"/>
      <c r="B6" s="219"/>
      <c r="C6" s="144"/>
      <c r="D6" s="34"/>
      <c r="E6" s="129" t="s">
        <v>171</v>
      </c>
      <c r="F6" s="130"/>
      <c r="G6" s="60" t="s">
        <v>318</v>
      </c>
      <c r="H6" s="34"/>
      <c r="I6" s="129" t="s">
        <v>314</v>
      </c>
      <c r="J6" s="34"/>
      <c r="K6" s="60" t="s">
        <v>315</v>
      </c>
      <c r="L6" s="60"/>
      <c r="M6" s="60" t="s">
        <v>316</v>
      </c>
      <c r="N6" s="34"/>
      <c r="O6" s="69" t="s">
        <v>461</v>
      </c>
      <c r="Q6" s="69" t="s">
        <v>424</v>
      </c>
    </row>
    <row r="7" spans="1:17">
      <c r="A7" s="1045"/>
      <c r="B7" s="1045"/>
      <c r="C7" s="144"/>
      <c r="D7" s="34"/>
      <c r="E7" s="82">
        <f>+-1</f>
        <v>-1</v>
      </c>
      <c r="F7" s="34"/>
      <c r="G7" s="82">
        <f>+E7-1</f>
        <v>-2</v>
      </c>
      <c r="H7" s="34"/>
      <c r="I7" s="82">
        <f>+G7-1</f>
        <v>-3</v>
      </c>
      <c r="J7" s="34"/>
      <c r="K7" s="82">
        <f>+I7-1</f>
        <v>-4</v>
      </c>
      <c r="L7" s="34"/>
      <c r="M7" s="82">
        <f>+K7-1</f>
        <v>-5</v>
      </c>
      <c r="N7" s="34"/>
      <c r="O7" s="82">
        <f>+M7-1</f>
        <v>-6</v>
      </c>
      <c r="Q7" s="82">
        <f>+O7-1</f>
        <v>-7</v>
      </c>
    </row>
    <row r="8" spans="1:17" ht="10.15" customHeight="1">
      <c r="A8" s="132"/>
      <c r="B8" s="29"/>
      <c r="C8" s="144"/>
      <c r="D8" s="34"/>
      <c r="E8" s="34"/>
      <c r="F8" s="34"/>
      <c r="G8" s="72"/>
      <c r="H8" s="34"/>
      <c r="I8" s="72"/>
      <c r="J8" s="34"/>
      <c r="K8" s="72"/>
      <c r="L8" s="72"/>
      <c r="M8" s="72"/>
      <c r="N8" s="34"/>
      <c r="O8" s="72"/>
    </row>
    <row r="9" spans="1:17" ht="15.75">
      <c r="A9" s="218" t="s">
        <v>149</v>
      </c>
      <c r="B9" s="29"/>
      <c r="C9" s="29"/>
      <c r="D9"/>
      <c r="E9"/>
      <c r="F9"/>
      <c r="G9"/>
      <c r="H9"/>
      <c r="I9"/>
      <c r="J9"/>
      <c r="K9"/>
      <c r="L9"/>
      <c r="M9"/>
      <c r="N9"/>
      <c r="O9"/>
    </row>
    <row r="10" spans="1:17">
      <c r="A10" s="34" t="s">
        <v>253</v>
      </c>
      <c r="B10"/>
      <c r="C10" s="34"/>
      <c r="D10" s="34"/>
      <c r="E10" s="204">
        <f>+SUM(G10:Q10)</f>
        <v>275976379.38660783</v>
      </c>
      <c r="F10" s="34"/>
      <c r="G10" s="84">
        <f>Sched.A!Z58</f>
        <v>220766834.65504283</v>
      </c>
      <c r="H10" s="84"/>
      <c r="I10" s="84">
        <f>Sched.A!AB59</f>
        <v>43252397.731565014</v>
      </c>
      <c r="J10" s="84"/>
      <c r="K10" s="84">
        <f>Sched.A!AD60</f>
        <v>5333032</v>
      </c>
      <c r="L10" s="84"/>
      <c r="M10" s="84">
        <f>+Sched.A!AF61</f>
        <v>3854674</v>
      </c>
      <c r="N10" s="84"/>
      <c r="O10" s="84">
        <f>Sched.A!AH62</f>
        <v>716031</v>
      </c>
      <c r="P10" s="84"/>
      <c r="Q10" s="84">
        <f>Sched.A!AJ63</f>
        <v>2053410</v>
      </c>
    </row>
    <row r="11" spans="1:17">
      <c r="A11" s="34"/>
      <c r="B11"/>
      <c r="C11" s="34"/>
      <c r="D11" s="34"/>
      <c r="E11" s="34"/>
      <c r="F11" s="34"/>
      <c r="G11" s="73"/>
      <c r="H11" s="34"/>
      <c r="I11" s="73"/>
      <c r="J11" s="34"/>
      <c r="K11" s="73"/>
      <c r="L11" s="73"/>
      <c r="M11" s="73"/>
      <c r="N11" s="34"/>
      <c r="O11" s="73"/>
    </row>
    <row r="12" spans="1:17">
      <c r="A12" s="34" t="s">
        <v>17</v>
      </c>
      <c r="B12"/>
      <c r="C12" s="34"/>
      <c r="D12" s="34"/>
      <c r="E12" s="204">
        <f>+SUM(G12:Q12)</f>
        <v>7956826.7733333334</v>
      </c>
      <c r="F12" s="34"/>
      <c r="G12" s="25">
        <f>+'Ft 7to9'!E17*12</f>
        <v>7109604</v>
      </c>
      <c r="H12" s="25"/>
      <c r="I12" s="25">
        <f>+'Ft 7to9'!E18*12</f>
        <v>817726.77333333332</v>
      </c>
      <c r="J12" s="25"/>
      <c r="K12" s="25">
        <f>+'Ft 7to9'!E19*12</f>
        <v>18648</v>
      </c>
      <c r="L12" s="25"/>
      <c r="M12" s="25">
        <f>+'Ft 7to9'!E20*12</f>
        <v>5640</v>
      </c>
      <c r="N12" s="25"/>
      <c r="O12" s="25">
        <f>+'Ft 7to9'!E21*12</f>
        <v>648</v>
      </c>
      <c r="P12" s="25"/>
      <c r="Q12" s="25">
        <f>+'Ft 7to9'!E22*12</f>
        <v>4560</v>
      </c>
    </row>
    <row r="13" spans="1:17">
      <c r="A13" s="34"/>
      <c r="B13"/>
      <c r="C13" s="34"/>
      <c r="D13" s="34"/>
      <c r="E13" s="34"/>
      <c r="F13" s="34"/>
      <c r="G13" s="25"/>
      <c r="H13" s="25"/>
      <c r="I13" s="25"/>
      <c r="J13" s="25"/>
      <c r="K13" s="25"/>
      <c r="L13" s="25"/>
      <c r="M13" s="25"/>
      <c r="N13" s="25"/>
      <c r="O13" s="25"/>
    </row>
    <row r="14" spans="1:17" ht="15.75">
      <c r="A14" s="81" t="s">
        <v>150</v>
      </c>
      <c r="B14" s="27"/>
      <c r="C14" s="81"/>
      <c r="D14" s="81"/>
      <c r="E14" s="91"/>
      <c r="F14" s="81"/>
      <c r="G14" s="91">
        <f>G10/G12</f>
        <v>31.051917189064653</v>
      </c>
      <c r="H14" s="91"/>
      <c r="I14" s="91">
        <f>I10/I12</f>
        <v>52.893459211630656</v>
      </c>
      <c r="J14" s="91"/>
      <c r="K14" s="91">
        <f>K10/K12</f>
        <v>285.98412698412699</v>
      </c>
      <c r="L14" s="91"/>
      <c r="M14" s="91">
        <f>M10/M12</f>
        <v>683.45283687943265</v>
      </c>
      <c r="N14" s="91"/>
      <c r="O14" s="91">
        <f>O10/O12</f>
        <v>1104.9861111111111</v>
      </c>
      <c r="P14" s="91"/>
      <c r="Q14" s="91">
        <f t="shared" ref="Q14" si="0">Q10/Q12</f>
        <v>450.30921052631578</v>
      </c>
    </row>
    <row r="15" spans="1:17">
      <c r="A15" s="34"/>
      <c r="B15"/>
      <c r="C15" s="34" t="s">
        <v>251</v>
      </c>
      <c r="D15" s="34"/>
      <c r="E15" s="34"/>
      <c r="F15" s="34"/>
      <c r="G15" s="25"/>
      <c r="H15" s="25"/>
      <c r="I15" s="25"/>
      <c r="J15" s="25"/>
      <c r="K15" s="25"/>
      <c r="L15" s="25"/>
      <c r="M15" s="25"/>
      <c r="N15" s="25"/>
      <c r="O15" s="25"/>
    </row>
    <row r="16" spans="1:17" ht="15.75">
      <c r="A16" s="89" t="s">
        <v>131</v>
      </c>
      <c r="B16"/>
      <c r="C16" s="34"/>
      <c r="D16" s="34"/>
      <c r="E16" s="34"/>
      <c r="F16" s="34"/>
      <c r="G16" s="25"/>
      <c r="H16" s="25"/>
      <c r="I16" s="25"/>
      <c r="J16" s="25"/>
      <c r="K16" s="25"/>
      <c r="L16" s="25"/>
      <c r="M16" s="25"/>
      <c r="N16" s="25"/>
      <c r="O16" s="25"/>
    </row>
    <row r="17" spans="1:17">
      <c r="A17" s="70" t="s">
        <v>140</v>
      </c>
      <c r="B17"/>
      <c r="C17" s="34"/>
      <c r="D17" s="34"/>
      <c r="E17" s="34"/>
      <c r="F17" s="34"/>
      <c r="G17" s="25"/>
      <c r="H17" s="25"/>
      <c r="I17" s="25"/>
      <c r="J17" s="25"/>
      <c r="K17" s="25"/>
      <c r="L17" s="25"/>
      <c r="M17" s="25"/>
      <c r="N17" s="25"/>
      <c r="O17" s="25"/>
    </row>
    <row r="18" spans="1:17">
      <c r="A18" s="533">
        <v>874</v>
      </c>
      <c r="B18" s="87" t="s">
        <v>324</v>
      </c>
      <c r="C18" s="34"/>
      <c r="D18" s="34"/>
      <c r="E18" s="34"/>
      <c r="F18" s="34"/>
      <c r="G18" s="25"/>
      <c r="H18" s="25"/>
      <c r="I18" s="25"/>
      <c r="J18" s="25"/>
      <c r="K18" s="25"/>
      <c r="L18" s="25"/>
      <c r="M18" s="25"/>
      <c r="N18" s="25"/>
      <c r="O18" s="25"/>
    </row>
    <row r="19" spans="1:17">
      <c r="A19" s="533"/>
      <c r="C19" s="87" t="s">
        <v>158</v>
      </c>
      <c r="D19" s="87"/>
      <c r="E19" s="204">
        <f>+SUM(G19:Q19)</f>
        <v>0</v>
      </c>
      <c r="F19" s="87"/>
      <c r="G19" s="25">
        <f>+Alloc!W67+Alloc!W68</f>
        <v>0</v>
      </c>
      <c r="H19" s="87"/>
      <c r="I19" s="25">
        <f>+Alloc!Y67+Alloc!Y68</f>
        <v>0</v>
      </c>
      <c r="J19" s="87"/>
      <c r="K19" s="25">
        <f>+Alloc!AA67+Alloc!AA68</f>
        <v>0</v>
      </c>
      <c r="L19" s="87"/>
      <c r="M19" s="25">
        <f>+Alloc!AC67+Alloc!AC68</f>
        <v>0</v>
      </c>
      <c r="N19" s="87"/>
      <c r="O19" s="25">
        <f>+Alloc!AE67+Alloc!AE68</f>
        <v>0</v>
      </c>
      <c r="P19" s="25">
        <f>+Alloc!AF67+Alloc!AF68</f>
        <v>0</v>
      </c>
      <c r="Q19" s="25">
        <f>+Alloc!AG67+Alloc!AG68</f>
        <v>0</v>
      </c>
    </row>
    <row r="20" spans="1:17">
      <c r="A20" s="533"/>
      <c r="C20" s="87" t="s">
        <v>161</v>
      </c>
      <c r="D20" s="87"/>
      <c r="E20" s="204">
        <f t="shared" ref="E20:E42" si="1">+SUM(G20:Q20)</f>
        <v>10235358</v>
      </c>
      <c r="F20" s="87"/>
      <c r="G20" s="25">
        <f>+Alloc!W69</f>
        <v>8921138</v>
      </c>
      <c r="H20" s="87"/>
      <c r="I20" s="25">
        <f>+Alloc!Y69</f>
        <v>1191396</v>
      </c>
      <c r="J20" s="87"/>
      <c r="K20" s="25">
        <f>+Alloc!AA69</f>
        <v>50153</v>
      </c>
      <c r="L20" s="87"/>
      <c r="M20" s="25">
        <f>+Alloc!AC69</f>
        <v>53224</v>
      </c>
      <c r="N20" s="87"/>
      <c r="O20" s="25">
        <f>+Alloc!AE69</f>
        <v>4094</v>
      </c>
      <c r="P20" s="25">
        <f>+Alloc!AF69</f>
        <v>0</v>
      </c>
      <c r="Q20" s="25">
        <f>+Alloc!AG69</f>
        <v>15353</v>
      </c>
    </row>
    <row r="21" spans="1:17">
      <c r="A21" s="534">
        <v>876</v>
      </c>
      <c r="B21" s="34"/>
      <c r="C21" s="149" t="s">
        <v>282</v>
      </c>
      <c r="D21" s="149"/>
      <c r="E21" s="204">
        <f t="shared" si="1"/>
        <v>567879</v>
      </c>
      <c r="F21" s="149"/>
      <c r="G21" s="25">
        <f>+Alloc!W71</f>
        <v>0</v>
      </c>
      <c r="H21" s="87"/>
      <c r="I21" s="25">
        <f>+Alloc!Y71</f>
        <v>0</v>
      </c>
      <c r="J21" s="87"/>
      <c r="K21" s="25">
        <f>+Alloc!AA71</f>
        <v>268266</v>
      </c>
      <c r="L21" s="87"/>
      <c r="M21" s="25">
        <f>+Alloc!AC71</f>
        <v>164174</v>
      </c>
      <c r="N21" s="87"/>
      <c r="O21" s="25">
        <f>+Alloc!AE71</f>
        <v>33902</v>
      </c>
      <c r="P21" s="25">
        <f>+Alloc!AF71</f>
        <v>0</v>
      </c>
      <c r="Q21" s="25">
        <f>+Alloc!AG71</f>
        <v>101537</v>
      </c>
    </row>
    <row r="22" spans="1:17">
      <c r="A22" s="534">
        <v>878</v>
      </c>
      <c r="B22" s="34"/>
      <c r="C22" s="107" t="s">
        <v>63</v>
      </c>
      <c r="D22" s="107"/>
      <c r="E22" s="204">
        <f t="shared" si="1"/>
        <v>4604244</v>
      </c>
      <c r="F22" s="149"/>
      <c r="G22" s="25">
        <f>+Alloc!W73</f>
        <v>2018961</v>
      </c>
      <c r="H22" s="87"/>
      <c r="I22" s="25">
        <f>+Alloc!Y73</f>
        <v>1940228</v>
      </c>
      <c r="J22" s="87"/>
      <c r="K22" s="25">
        <f>+Alloc!AA73</f>
        <v>304801</v>
      </c>
      <c r="L22" s="87"/>
      <c r="M22" s="25">
        <f>+Alloc!AC73</f>
        <v>186472</v>
      </c>
      <c r="N22" s="87"/>
      <c r="O22" s="25">
        <f>+Alloc!AE73</f>
        <v>38676</v>
      </c>
      <c r="P22" s="25">
        <f>+Alloc!AF73</f>
        <v>0</v>
      </c>
      <c r="Q22" s="25">
        <f>+Alloc!AG73</f>
        <v>115106</v>
      </c>
    </row>
    <row r="23" spans="1:17">
      <c r="A23" s="534">
        <v>879</v>
      </c>
      <c r="B23" s="34"/>
      <c r="C23" s="107" t="s">
        <v>64</v>
      </c>
      <c r="D23" s="107"/>
      <c r="E23" s="204">
        <f t="shared" si="1"/>
        <v>1957160</v>
      </c>
      <c r="F23" s="149"/>
      <c r="G23" s="25">
        <f>+Alloc!W74</f>
        <v>858215</v>
      </c>
      <c r="H23" s="87"/>
      <c r="I23" s="25">
        <f>+Alloc!Y74</f>
        <v>824747</v>
      </c>
      <c r="J23" s="87"/>
      <c r="K23" s="25">
        <f>+Alloc!AA74</f>
        <v>129564</v>
      </c>
      <c r="L23" s="87"/>
      <c r="M23" s="25">
        <f>+Alloc!AC74</f>
        <v>79265</v>
      </c>
      <c r="N23" s="87"/>
      <c r="O23" s="25">
        <f>+Alloc!AE74</f>
        <v>16440</v>
      </c>
      <c r="P23" s="25">
        <f>+Alloc!AF74</f>
        <v>0</v>
      </c>
      <c r="Q23" s="25">
        <f>+Alloc!AG74</f>
        <v>48929</v>
      </c>
    </row>
    <row r="24" spans="1:17">
      <c r="A24" s="421">
        <v>890</v>
      </c>
      <c r="B24" s="34"/>
      <c r="C24" s="149" t="s">
        <v>308</v>
      </c>
      <c r="D24" s="107"/>
      <c r="E24" s="204">
        <f t="shared" si="1"/>
        <v>553343</v>
      </c>
      <c r="F24" s="149"/>
      <c r="G24" s="25">
        <f>+Alloc!W86</f>
        <v>0</v>
      </c>
      <c r="H24" s="149"/>
      <c r="I24" s="25">
        <f>+Alloc!Y86</f>
        <v>0</v>
      </c>
      <c r="J24" s="149"/>
      <c r="K24" s="25">
        <f>+Alloc!AA86</f>
        <v>261399</v>
      </c>
      <c r="L24" s="149"/>
      <c r="M24" s="25">
        <f>+Alloc!AC86</f>
        <v>159971</v>
      </c>
      <c r="N24" s="149"/>
      <c r="O24" s="25">
        <f>+Alloc!AE86</f>
        <v>33035</v>
      </c>
      <c r="P24" s="25">
        <f>+Alloc!AF86</f>
        <v>0</v>
      </c>
      <c r="Q24" s="25">
        <f>+Alloc!AG86</f>
        <v>98938</v>
      </c>
    </row>
    <row r="25" spans="1:17">
      <c r="A25" s="421">
        <v>892</v>
      </c>
      <c r="B25" s="34"/>
      <c r="C25" s="150" t="s">
        <v>121</v>
      </c>
      <c r="D25" s="150"/>
      <c r="E25" s="204">
        <f t="shared" si="1"/>
        <v>4881538</v>
      </c>
      <c r="F25" s="150"/>
      <c r="G25" s="25">
        <f>+Alloc!W88</f>
        <v>4254748</v>
      </c>
      <c r="H25" s="150"/>
      <c r="I25" s="25">
        <f>+Alloc!Y88</f>
        <v>568211</v>
      </c>
      <c r="J25" s="150"/>
      <c r="K25" s="25">
        <f>+Alloc!AA88</f>
        <v>23920</v>
      </c>
      <c r="L25" s="150"/>
      <c r="M25" s="25">
        <f>+Alloc!AC88</f>
        <v>25384</v>
      </c>
      <c r="N25" s="150"/>
      <c r="O25" s="25">
        <f>+Alloc!AE88</f>
        <v>1953</v>
      </c>
      <c r="P25" s="25">
        <f>+Alloc!AF88</f>
        <v>0</v>
      </c>
      <c r="Q25" s="25">
        <f>+Alloc!AG88</f>
        <v>7322</v>
      </c>
    </row>
    <row r="26" spans="1:17">
      <c r="A26" s="421">
        <v>893</v>
      </c>
      <c r="B26" s="34"/>
      <c r="C26" s="150" t="s">
        <v>122</v>
      </c>
      <c r="D26" s="150"/>
      <c r="E26" s="204">
        <f t="shared" si="1"/>
        <v>2199422</v>
      </c>
      <c r="F26" s="150"/>
      <c r="G26" s="25">
        <f>+Alloc!W89</f>
        <v>964446</v>
      </c>
      <c r="H26" s="150"/>
      <c r="I26" s="25">
        <f>+Alloc!Y89</f>
        <v>926836</v>
      </c>
      <c r="J26" s="150"/>
      <c r="K26" s="25">
        <f>+Alloc!AA89</f>
        <v>145602</v>
      </c>
      <c r="L26" s="150"/>
      <c r="M26" s="25">
        <f>+Alloc!AC89</f>
        <v>89077</v>
      </c>
      <c r="N26" s="150"/>
      <c r="O26" s="25">
        <f>+Alloc!AE89</f>
        <v>18475</v>
      </c>
      <c r="P26" s="25">
        <f>+Alloc!AF89</f>
        <v>0</v>
      </c>
      <c r="Q26" s="25">
        <f>+Alloc!AG89</f>
        <v>54986</v>
      </c>
    </row>
    <row r="27" spans="1:17">
      <c r="A27" s="421">
        <v>901</v>
      </c>
      <c r="B27" s="34"/>
      <c r="C27" s="149" t="s">
        <v>167</v>
      </c>
      <c r="D27" s="149"/>
      <c r="E27" s="204">
        <f t="shared" si="1"/>
        <v>831894</v>
      </c>
      <c r="F27" s="149"/>
      <c r="G27" s="25">
        <f>+Alloc!W99</f>
        <v>743298</v>
      </c>
      <c r="H27" s="149"/>
      <c r="I27" s="25">
        <f>+Alloc!Y99</f>
        <v>85519</v>
      </c>
      <c r="J27" s="149"/>
      <c r="K27" s="25">
        <f>+Alloc!AA99</f>
        <v>1913</v>
      </c>
      <c r="L27" s="149"/>
      <c r="M27" s="25">
        <f>+Alloc!AC99</f>
        <v>582</v>
      </c>
      <c r="N27" s="149"/>
      <c r="O27" s="25">
        <f>+Alloc!AE99</f>
        <v>83</v>
      </c>
      <c r="P27" s="25">
        <f>+Alloc!AF99</f>
        <v>0</v>
      </c>
      <c r="Q27" s="25">
        <f>+Alloc!AG99</f>
        <v>499</v>
      </c>
    </row>
    <row r="28" spans="1:17">
      <c r="A28" s="421">
        <v>902</v>
      </c>
      <c r="B28" s="34"/>
      <c r="C28" s="149" t="s">
        <v>123</v>
      </c>
      <c r="D28" s="149"/>
      <c r="E28" s="204">
        <f t="shared" si="1"/>
        <v>2601113</v>
      </c>
      <c r="F28" s="149"/>
      <c r="G28" s="25">
        <f>+Alloc!W100</f>
        <v>2324094</v>
      </c>
      <c r="H28" s="149"/>
      <c r="I28" s="25">
        <f>+Alloc!Y100</f>
        <v>267394</v>
      </c>
      <c r="J28" s="149"/>
      <c r="K28" s="25">
        <f>+Alloc!AA100</f>
        <v>5983</v>
      </c>
      <c r="L28" s="149"/>
      <c r="M28" s="25">
        <f>+Alloc!AC100</f>
        <v>1821</v>
      </c>
      <c r="N28" s="149"/>
      <c r="O28" s="25">
        <f>+Alloc!AE100</f>
        <v>260</v>
      </c>
      <c r="P28" s="25">
        <f>+Alloc!AF100</f>
        <v>0</v>
      </c>
      <c r="Q28" s="25">
        <f>+Alloc!AG100</f>
        <v>1561</v>
      </c>
    </row>
    <row r="29" spans="1:17">
      <c r="A29" s="421">
        <v>903</v>
      </c>
      <c r="B29" s="34"/>
      <c r="C29" s="149" t="s">
        <v>124</v>
      </c>
      <c r="D29" s="149"/>
      <c r="E29" s="204">
        <f t="shared" si="1"/>
        <v>18964710</v>
      </c>
      <c r="F29" s="149"/>
      <c r="G29" s="25">
        <f>+Alloc!W101</f>
        <v>16944969</v>
      </c>
      <c r="H29" s="149"/>
      <c r="I29" s="25">
        <f>+Alloc!Y101</f>
        <v>1949572</v>
      </c>
      <c r="J29" s="149"/>
      <c r="K29" s="25">
        <f>+Alloc!AA101</f>
        <v>43619</v>
      </c>
      <c r="L29" s="149"/>
      <c r="M29" s="25">
        <f>+Alloc!AC101</f>
        <v>13275</v>
      </c>
      <c r="N29" s="149"/>
      <c r="O29" s="25">
        <f>+Alloc!AE101</f>
        <v>1896</v>
      </c>
      <c r="P29" s="25">
        <f>+Alloc!AF101</f>
        <v>0</v>
      </c>
      <c r="Q29" s="25">
        <f>+Alloc!AG101</f>
        <v>11379</v>
      </c>
    </row>
    <row r="30" spans="1:17">
      <c r="A30" s="421">
        <v>903.1</v>
      </c>
      <c r="B30" s="34"/>
      <c r="C30" s="87" t="s">
        <v>627</v>
      </c>
      <c r="D30" s="149"/>
      <c r="E30" s="204">
        <f t="shared" ref="E30" si="2">+SUM(G30:Q30)</f>
        <v>0</v>
      </c>
      <c r="F30" s="149"/>
      <c r="G30" s="25">
        <f>+Alloc!W102</f>
        <v>0</v>
      </c>
      <c r="H30" s="149"/>
      <c r="I30" s="25">
        <f>+Alloc!Y102</f>
        <v>0</v>
      </c>
      <c r="J30" s="149"/>
      <c r="K30" s="25">
        <f>+Alloc!AA102</f>
        <v>0</v>
      </c>
      <c r="L30" s="149"/>
      <c r="M30" s="25">
        <f>+Alloc!AC102</f>
        <v>0</v>
      </c>
      <c r="N30" s="149"/>
      <c r="O30" s="25">
        <f>+Alloc!AE102</f>
        <v>0</v>
      </c>
      <c r="P30" s="25">
        <f>+Alloc!AF102</f>
        <v>0</v>
      </c>
      <c r="Q30" s="25">
        <f>+Alloc!AG102</f>
        <v>0</v>
      </c>
    </row>
    <row r="31" spans="1:17">
      <c r="A31" s="421">
        <v>904</v>
      </c>
      <c r="B31" s="34"/>
      <c r="C31" s="149" t="s">
        <v>310</v>
      </c>
      <c r="D31" s="149"/>
      <c r="E31" s="204">
        <f t="shared" si="1"/>
        <v>7580228.3866078211</v>
      </c>
      <c r="F31" s="149"/>
      <c r="G31" s="25">
        <f>+Alloc!W103</f>
        <v>7148783.6550428104</v>
      </c>
      <c r="H31" s="149"/>
      <c r="I31" s="25">
        <f>+Alloc!Y103</f>
        <v>328206.73156501108</v>
      </c>
      <c r="J31" s="149"/>
      <c r="K31" s="25">
        <f>+Alloc!AA103</f>
        <v>7039</v>
      </c>
      <c r="L31" s="149"/>
      <c r="M31" s="25">
        <f>+Alloc!AC103</f>
        <v>72736</v>
      </c>
      <c r="N31" s="149"/>
      <c r="O31" s="25">
        <f>+Alloc!AE103</f>
        <v>23463</v>
      </c>
      <c r="P31" s="25">
        <f>+Alloc!AF103</f>
        <v>0</v>
      </c>
      <c r="Q31" s="25">
        <f>+Alloc!AG103</f>
        <v>0</v>
      </c>
    </row>
    <row r="32" spans="1:17">
      <c r="A32" s="421">
        <v>905</v>
      </c>
      <c r="B32" s="34"/>
      <c r="C32" s="149" t="s">
        <v>311</v>
      </c>
      <c r="D32" s="149"/>
      <c r="E32" s="204">
        <f t="shared" si="1"/>
        <v>3464721</v>
      </c>
      <c r="F32" s="149"/>
      <c r="G32" s="25">
        <f>+Alloc!W104</f>
        <v>3095729</v>
      </c>
      <c r="H32" s="149"/>
      <c r="I32" s="25">
        <f>+Alloc!Y104</f>
        <v>356173</v>
      </c>
      <c r="J32" s="149"/>
      <c r="K32" s="25">
        <f>+Alloc!AA104</f>
        <v>7969</v>
      </c>
      <c r="L32" s="149"/>
      <c r="M32" s="25">
        <f>+Alloc!AC104</f>
        <v>2425</v>
      </c>
      <c r="N32" s="149"/>
      <c r="O32" s="25">
        <f>+Alloc!AE104</f>
        <v>346</v>
      </c>
      <c r="P32" s="25">
        <f>+Alloc!AF104</f>
        <v>0</v>
      </c>
      <c r="Q32" s="25">
        <f>+Alloc!AG104</f>
        <v>2079</v>
      </c>
    </row>
    <row r="33" spans="1:17" s="225" customFormat="1">
      <c r="A33" s="421">
        <v>907</v>
      </c>
      <c r="B33" s="223"/>
      <c r="C33" s="222" t="s">
        <v>167</v>
      </c>
      <c r="D33" s="222"/>
      <c r="E33" s="204">
        <f t="shared" si="1"/>
        <v>198524</v>
      </c>
      <c r="F33" s="222"/>
      <c r="G33" s="221">
        <f>+Alloc!W110</f>
        <v>177381</v>
      </c>
      <c r="H33" s="222"/>
      <c r="I33" s="221">
        <f>+Alloc!Y110</f>
        <v>20408</v>
      </c>
      <c r="J33" s="222"/>
      <c r="K33" s="221">
        <f>+Alloc!AA110</f>
        <v>457</v>
      </c>
      <c r="L33" s="222"/>
      <c r="M33" s="221">
        <f>+Alloc!AC110</f>
        <v>139</v>
      </c>
      <c r="N33" s="222"/>
      <c r="O33" s="221">
        <f>+Alloc!AE110</f>
        <v>20</v>
      </c>
      <c r="P33" s="221">
        <f>+Alloc!AF110</f>
        <v>0</v>
      </c>
      <c r="Q33" s="221">
        <f>+Alloc!AG110</f>
        <v>119</v>
      </c>
    </row>
    <row r="34" spans="1:17">
      <c r="A34" s="421">
        <v>908</v>
      </c>
      <c r="B34" s="34"/>
      <c r="C34" s="149" t="s">
        <v>86</v>
      </c>
      <c r="D34" s="149"/>
      <c r="E34" s="204">
        <f t="shared" si="1"/>
        <v>1635559</v>
      </c>
      <c r="F34" s="149"/>
      <c r="G34" s="221">
        <f>+Alloc!W111</f>
        <v>1635559</v>
      </c>
      <c r="H34" s="222"/>
      <c r="I34" s="221">
        <f>+Alloc!Y111</f>
        <v>0</v>
      </c>
      <c r="J34" s="222"/>
      <c r="K34" s="221">
        <f>+Alloc!AA111</f>
        <v>0</v>
      </c>
      <c r="L34" s="222"/>
      <c r="M34" s="221">
        <f>+Alloc!AC111</f>
        <v>0</v>
      </c>
      <c r="N34" s="222"/>
      <c r="O34" s="221">
        <f>+Alloc!AE111</f>
        <v>0</v>
      </c>
      <c r="P34" s="221">
        <f>+Alloc!AF111</f>
        <v>0</v>
      </c>
      <c r="Q34" s="221">
        <f>+Alloc!AG111</f>
        <v>0</v>
      </c>
    </row>
    <row r="35" spans="1:17">
      <c r="A35" s="421">
        <v>910</v>
      </c>
      <c r="B35" s="34"/>
      <c r="C35" s="87" t="s">
        <v>449</v>
      </c>
      <c r="D35" s="149"/>
      <c r="E35" s="204">
        <f t="shared" si="1"/>
        <v>0</v>
      </c>
      <c r="F35" s="149"/>
      <c r="G35" s="221">
        <f>+Alloc!W114</f>
        <v>0</v>
      </c>
      <c r="H35" s="222"/>
      <c r="I35" s="221">
        <f>+Alloc!Y114</f>
        <v>0</v>
      </c>
      <c r="J35" s="222"/>
      <c r="K35" s="221">
        <f>+Alloc!AA114</f>
        <v>0</v>
      </c>
      <c r="L35" s="222"/>
      <c r="M35" s="221">
        <f>+Alloc!AC114</f>
        <v>0</v>
      </c>
      <c r="N35" s="222"/>
      <c r="O35" s="221">
        <f>+Alloc!AE114</f>
        <v>0</v>
      </c>
      <c r="P35" s="221">
        <f>+Alloc!AF114</f>
        <v>0</v>
      </c>
      <c r="Q35" s="221">
        <f>+Alloc!AG114</f>
        <v>0</v>
      </c>
    </row>
    <row r="36" spans="1:17" s="225" customFormat="1">
      <c r="A36" s="421">
        <v>911</v>
      </c>
      <c r="B36" s="223"/>
      <c r="C36" s="222" t="s">
        <v>167</v>
      </c>
      <c r="D36" s="222"/>
      <c r="E36" s="204">
        <f t="shared" si="1"/>
        <v>54503</v>
      </c>
      <c r="F36" s="222"/>
      <c r="G36" s="221">
        <f>+Alloc!W120</f>
        <v>48878</v>
      </c>
      <c r="H36" s="222"/>
      <c r="I36" s="221">
        <f>+Alloc!Y120</f>
        <v>5625</v>
      </c>
      <c r="J36" s="222"/>
      <c r="K36" s="221">
        <f>+Alloc!AA120</f>
        <v>0</v>
      </c>
      <c r="L36" s="222"/>
      <c r="M36" s="221">
        <f>+Alloc!AC120</f>
        <v>0</v>
      </c>
      <c r="N36" s="222"/>
      <c r="O36" s="221">
        <f>+Alloc!AE120</f>
        <v>0</v>
      </c>
      <c r="P36" s="221">
        <f>+Alloc!AF120</f>
        <v>0</v>
      </c>
      <c r="Q36" s="221">
        <f>+Alloc!AG120</f>
        <v>0</v>
      </c>
    </row>
    <row r="37" spans="1:17" s="225" customFormat="1">
      <c r="A37" s="421">
        <v>912</v>
      </c>
      <c r="B37" s="223"/>
      <c r="C37" s="260" t="s">
        <v>89</v>
      </c>
      <c r="D37" s="222"/>
      <c r="E37" s="204">
        <f t="shared" si="1"/>
        <v>1838016</v>
      </c>
      <c r="F37" s="222"/>
      <c r="G37" s="221">
        <f>+Alloc!W121</f>
        <v>1648333</v>
      </c>
      <c r="H37" s="222"/>
      <c r="I37" s="221">
        <f>+Alloc!Y121</f>
        <v>189683</v>
      </c>
      <c r="J37" s="222"/>
      <c r="K37" s="221">
        <f>+Alloc!AA121</f>
        <v>0</v>
      </c>
      <c r="L37" s="222"/>
      <c r="M37" s="221">
        <f>+Alloc!AC121</f>
        <v>0</v>
      </c>
      <c r="N37" s="222"/>
      <c r="O37" s="221">
        <f>+Alloc!AE121</f>
        <v>0</v>
      </c>
      <c r="P37" s="221">
        <f>+Alloc!AF121</f>
        <v>0</v>
      </c>
      <c r="Q37" s="221">
        <f>+Alloc!AG121</f>
        <v>0</v>
      </c>
    </row>
    <row r="38" spans="1:17" s="225" customFormat="1">
      <c r="A38" s="541">
        <v>912.1</v>
      </c>
      <c r="B38" s="223"/>
      <c r="C38" s="260" t="s">
        <v>629</v>
      </c>
      <c r="D38" s="222"/>
      <c r="E38" s="204">
        <f t="shared" ref="E38" si="3">+SUM(G38:Q38)</f>
        <v>0</v>
      </c>
      <c r="F38" s="222"/>
      <c r="G38" s="221">
        <f>+Alloc!W122</f>
        <v>0</v>
      </c>
      <c r="H38" s="222"/>
      <c r="I38" s="221">
        <f>+Alloc!Y122</f>
        <v>0</v>
      </c>
      <c r="J38" s="222"/>
      <c r="K38" s="221">
        <f>+Alloc!AA122</f>
        <v>0</v>
      </c>
      <c r="L38" s="222"/>
      <c r="M38" s="221">
        <f>+Alloc!AC122</f>
        <v>0</v>
      </c>
      <c r="N38" s="222"/>
      <c r="O38" s="221">
        <f>+Alloc!AE122</f>
        <v>0</v>
      </c>
      <c r="P38" s="221">
        <f>+Alloc!AF122</f>
        <v>0</v>
      </c>
      <c r="Q38" s="221">
        <f>+Alloc!AG122</f>
        <v>0</v>
      </c>
    </row>
    <row r="39" spans="1:17" s="225" customFormat="1">
      <c r="A39" s="421">
        <v>913</v>
      </c>
      <c r="B39" s="223"/>
      <c r="C39" s="222" t="s">
        <v>312</v>
      </c>
      <c r="D39" s="222"/>
      <c r="E39" s="204">
        <f t="shared" si="1"/>
        <v>440683</v>
      </c>
      <c r="F39" s="222"/>
      <c r="G39" s="221">
        <f>+Alloc!W123</f>
        <v>395205</v>
      </c>
      <c r="H39" s="222"/>
      <c r="I39" s="221">
        <f>+Alloc!Y123</f>
        <v>45478</v>
      </c>
      <c r="J39" s="222"/>
      <c r="K39" s="221">
        <f>+Alloc!AA123</f>
        <v>0</v>
      </c>
      <c r="L39" s="222"/>
      <c r="M39" s="221">
        <f>+Alloc!AC123</f>
        <v>0</v>
      </c>
      <c r="N39" s="222"/>
      <c r="O39" s="221">
        <f>+Alloc!AE123</f>
        <v>0</v>
      </c>
      <c r="P39" s="221">
        <f>+Alloc!AF123</f>
        <v>0</v>
      </c>
      <c r="Q39" s="221">
        <f>+Alloc!AG123</f>
        <v>0</v>
      </c>
    </row>
    <row r="40" spans="1:17" s="225" customFormat="1">
      <c r="A40" s="421">
        <v>916</v>
      </c>
      <c r="B40" s="223"/>
      <c r="C40" s="260" t="s">
        <v>387</v>
      </c>
      <c r="D40" s="222"/>
      <c r="E40" s="204">
        <f t="shared" si="1"/>
        <v>198908</v>
      </c>
      <c r="F40" s="222"/>
      <c r="G40" s="221">
        <f>+Alloc!W124</f>
        <v>178381</v>
      </c>
      <c r="H40" s="222"/>
      <c r="I40" s="221">
        <f>+Alloc!Y124</f>
        <v>20527</v>
      </c>
      <c r="J40" s="222"/>
      <c r="K40" s="221">
        <f>+Alloc!AA124</f>
        <v>0</v>
      </c>
      <c r="L40" s="222"/>
      <c r="M40" s="221">
        <f>+Alloc!AC124</f>
        <v>0</v>
      </c>
      <c r="N40" s="222"/>
      <c r="O40" s="221">
        <f>+Alloc!AE124</f>
        <v>0</v>
      </c>
      <c r="P40" s="221">
        <f>+Alloc!AF124</f>
        <v>0</v>
      </c>
      <c r="Q40" s="221">
        <f>+Alloc!AG124</f>
        <v>0</v>
      </c>
    </row>
    <row r="41" spans="1:17">
      <c r="A41" s="421">
        <v>926</v>
      </c>
      <c r="B41" s="34"/>
      <c r="C41" s="87" t="s">
        <v>630</v>
      </c>
      <c r="D41" s="149"/>
      <c r="E41" s="204">
        <f t="shared" si="1"/>
        <v>15006621</v>
      </c>
      <c r="F41" s="149" t="s">
        <v>350</v>
      </c>
      <c r="G41" s="25">
        <f>+Alloc!W136</f>
        <v>11607048</v>
      </c>
      <c r="H41" s="149"/>
      <c r="I41" s="25">
        <f>+Alloc!Y136</f>
        <v>2515391</v>
      </c>
      <c r="J41" s="149"/>
      <c r="K41" s="25">
        <f>+Alloc!AA136</f>
        <v>416374</v>
      </c>
      <c r="L41" s="149"/>
      <c r="M41" s="25">
        <f>+Alloc!AC136</f>
        <v>262071</v>
      </c>
      <c r="N41" s="149"/>
      <c r="O41" s="25">
        <f>+Alloc!AE136</f>
        <v>51434</v>
      </c>
      <c r="P41" s="25">
        <f>+Alloc!AF136</f>
        <v>0</v>
      </c>
      <c r="Q41" s="25">
        <f>+Alloc!AG136</f>
        <v>154303</v>
      </c>
    </row>
    <row r="42" spans="1:17">
      <c r="A42" s="421">
        <v>408</v>
      </c>
      <c r="B42" s="34"/>
      <c r="C42" s="34" t="s">
        <v>349</v>
      </c>
      <c r="D42" s="34"/>
      <c r="E42" s="211">
        <f t="shared" si="1"/>
        <v>4023811</v>
      </c>
      <c r="F42" s="34" t="s">
        <v>350</v>
      </c>
      <c r="G42" s="211">
        <f>+Alloc!W238</f>
        <v>3112264</v>
      </c>
      <c r="H42" s="34"/>
      <c r="I42" s="211">
        <f>+Alloc!Y238</f>
        <v>674466</v>
      </c>
      <c r="J42" s="34"/>
      <c r="K42" s="211">
        <f>+Alloc!AA238</f>
        <v>111645</v>
      </c>
      <c r="L42" s="34"/>
      <c r="M42" s="211">
        <f>+Alloc!AC238</f>
        <v>70271</v>
      </c>
      <c r="N42" s="34"/>
      <c r="O42" s="211">
        <f>+Alloc!AE238</f>
        <v>13791</v>
      </c>
      <c r="P42" s="211">
        <f>+Alloc!AF238</f>
        <v>0</v>
      </c>
      <c r="Q42" s="211">
        <f>+Alloc!AG238</f>
        <v>41374</v>
      </c>
    </row>
    <row r="43" spans="1:17" ht="6.6" customHeight="1">
      <c r="A43" s="534"/>
      <c r="B43" s="34"/>
      <c r="C43" s="34"/>
      <c r="D43" s="34"/>
      <c r="E43" s="34"/>
      <c r="F43" s="3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>
      <c r="A44" s="543" t="s">
        <v>146</v>
      </c>
      <c r="B44"/>
      <c r="C44"/>
      <c r="D44"/>
      <c r="E44" s="28">
        <f>SUM(E18:E43)</f>
        <v>81838235.386607826</v>
      </c>
      <c r="F44"/>
      <c r="G44" s="28">
        <f>SUM(G18:G43)</f>
        <v>66077430.655042812</v>
      </c>
      <c r="H44" s="28">
        <f t="shared" ref="H44:N44" si="4">SUM(H18:H43)</f>
        <v>0</v>
      </c>
      <c r="I44" s="28">
        <f>SUM(I18:I43)</f>
        <v>11909860.73156501</v>
      </c>
      <c r="J44" s="28">
        <f t="shared" si="4"/>
        <v>0</v>
      </c>
      <c r="K44" s="28">
        <f>SUM(K18:K43)</f>
        <v>1778704</v>
      </c>
      <c r="L44" s="28">
        <f t="shared" si="4"/>
        <v>0</v>
      </c>
      <c r="M44" s="28">
        <f>SUM(M18:M43)</f>
        <v>1180887</v>
      </c>
      <c r="N44" s="28">
        <f t="shared" si="4"/>
        <v>0</v>
      </c>
      <c r="O44" s="28">
        <f>SUM(O18:O43)</f>
        <v>237868</v>
      </c>
      <c r="P44" s="28">
        <f t="shared" ref="P44:Q44" si="5">SUM(P18:P43)</f>
        <v>0</v>
      </c>
      <c r="Q44" s="28">
        <f t="shared" si="5"/>
        <v>653485</v>
      </c>
    </row>
    <row r="45" spans="1:17">
      <c r="A45" s="421"/>
      <c r="B45"/>
      <c r="C45"/>
      <c r="D45"/>
      <c r="E45"/>
      <c r="F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>
      <c r="A46" s="548" t="s">
        <v>157</v>
      </c>
      <c r="B46"/>
      <c r="C46"/>
      <c r="D46"/>
      <c r="E46"/>
      <c r="F4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>
      <c r="A47" s="421">
        <v>380</v>
      </c>
      <c r="B47"/>
      <c r="C47" s="149" t="s">
        <v>290</v>
      </c>
      <c r="D47"/>
      <c r="E47" s="224">
        <f>+SUM(G47:Q47)</f>
        <v>32658056</v>
      </c>
      <c r="F47"/>
      <c r="G47" s="28">
        <f>+Alloc!W192</f>
        <v>28464762</v>
      </c>
      <c r="H47"/>
      <c r="I47" s="28">
        <f>+Alloc!Y192</f>
        <v>3801398</v>
      </c>
      <c r="J47"/>
      <c r="K47" s="28">
        <f>+Alloc!AA192</f>
        <v>160024</v>
      </c>
      <c r="L47"/>
      <c r="M47" s="28">
        <f>+Alloc!AC192</f>
        <v>169822</v>
      </c>
      <c r="N47"/>
      <c r="O47" s="28">
        <f>+Alloc!AE192</f>
        <v>13063</v>
      </c>
      <c r="P47" s="28">
        <f>+Alloc!AF192</f>
        <v>0</v>
      </c>
      <c r="Q47" s="28">
        <f>+Alloc!AG192</f>
        <v>48987</v>
      </c>
    </row>
    <row r="48" spans="1:17">
      <c r="A48" s="421">
        <v>381</v>
      </c>
      <c r="B48"/>
      <c r="C48" s="149" t="s">
        <v>291</v>
      </c>
      <c r="D48"/>
      <c r="E48" s="224">
        <f t="shared" ref="E48:E54" si="6">+SUM(G48:Q48)</f>
        <v>4650415</v>
      </c>
      <c r="F48"/>
      <c r="G48" s="28">
        <f>+Alloc!W193</f>
        <v>2039207</v>
      </c>
      <c r="H48"/>
      <c r="I48" s="28">
        <f>+Alloc!Y193</f>
        <v>1959685</v>
      </c>
      <c r="J48"/>
      <c r="K48" s="28">
        <f>+Alloc!AA193</f>
        <v>307858</v>
      </c>
      <c r="L48"/>
      <c r="M48" s="28">
        <f>+Alloc!AC193</f>
        <v>188342</v>
      </c>
      <c r="N48"/>
      <c r="O48" s="28">
        <f>+Alloc!AE193</f>
        <v>39063</v>
      </c>
      <c r="P48" s="28">
        <f>+Alloc!AF193</f>
        <v>0</v>
      </c>
      <c r="Q48" s="28">
        <f>+Alloc!AG193</f>
        <v>116260</v>
      </c>
    </row>
    <row r="49" spans="1:17">
      <c r="A49" s="421">
        <v>382</v>
      </c>
      <c r="B49"/>
      <c r="C49" s="149" t="s">
        <v>292</v>
      </c>
      <c r="D49"/>
      <c r="E49" s="224">
        <f t="shared" si="6"/>
        <v>2461573</v>
      </c>
      <c r="F49"/>
      <c r="G49" s="28">
        <f>+Alloc!W194</f>
        <v>1079400</v>
      </c>
      <c r="H49"/>
      <c r="I49" s="28">
        <f>+Alloc!Y194</f>
        <v>1037307</v>
      </c>
      <c r="J49"/>
      <c r="K49" s="28">
        <f>+Alloc!AA194</f>
        <v>162956</v>
      </c>
      <c r="L49"/>
      <c r="M49" s="28">
        <f>+Alloc!AC194</f>
        <v>99694</v>
      </c>
      <c r="N49"/>
      <c r="O49" s="28">
        <f>+Alloc!AE194</f>
        <v>20677</v>
      </c>
      <c r="P49" s="28">
        <f>+Alloc!AF194</f>
        <v>0</v>
      </c>
      <c r="Q49" s="28">
        <f>+Alloc!AG194</f>
        <v>61539</v>
      </c>
    </row>
    <row r="50" spans="1:17">
      <c r="A50" s="421">
        <v>383</v>
      </c>
      <c r="B50"/>
      <c r="C50" s="149" t="s">
        <v>162</v>
      </c>
      <c r="D50"/>
      <c r="E50" s="224">
        <f t="shared" si="6"/>
        <v>1394604</v>
      </c>
      <c r="F50"/>
      <c r="G50" s="28">
        <f>+Alloc!W195</f>
        <v>1230459</v>
      </c>
      <c r="H50"/>
      <c r="I50" s="28">
        <f>+Alloc!Y195</f>
        <v>164145</v>
      </c>
      <c r="J50"/>
      <c r="K50" s="28">
        <f>+Alloc!AA195</f>
        <v>0</v>
      </c>
      <c r="L50"/>
      <c r="M50" s="28">
        <f>+Alloc!AC195</f>
        <v>0</v>
      </c>
      <c r="N50"/>
      <c r="O50" s="28">
        <f>+Alloc!AE195</f>
        <v>0</v>
      </c>
      <c r="P50" s="28">
        <f>+Alloc!AF195</f>
        <v>0</v>
      </c>
      <c r="Q50" s="28">
        <f>+Alloc!AG195</f>
        <v>0</v>
      </c>
    </row>
    <row r="51" spans="1:17">
      <c r="A51" s="421">
        <v>384</v>
      </c>
      <c r="B51"/>
      <c r="C51" s="149" t="s">
        <v>163</v>
      </c>
      <c r="D51"/>
      <c r="E51" s="224">
        <f t="shared" si="6"/>
        <v>356592</v>
      </c>
      <c r="F51"/>
      <c r="G51" s="28">
        <f>+Alloc!W196</f>
        <v>314621</v>
      </c>
      <c r="H51"/>
      <c r="I51" s="28">
        <f>+Alloc!Y196</f>
        <v>41971</v>
      </c>
      <c r="J51"/>
      <c r="K51" s="28">
        <f>+Alloc!AA196</f>
        <v>0</v>
      </c>
      <c r="L51"/>
      <c r="M51" s="28">
        <f>+Alloc!AC196</f>
        <v>0</v>
      </c>
      <c r="N51"/>
      <c r="O51" s="28">
        <f>+Alloc!AE196</f>
        <v>0</v>
      </c>
      <c r="P51" s="28">
        <f>+Alloc!AF196</f>
        <v>0</v>
      </c>
      <c r="Q51" s="28">
        <f>+Alloc!AG196</f>
        <v>0</v>
      </c>
    </row>
    <row r="52" spans="1:17">
      <c r="A52" s="421">
        <v>385</v>
      </c>
      <c r="B52"/>
      <c r="C52" s="87" t="s">
        <v>450</v>
      </c>
      <c r="D52"/>
      <c r="E52" s="224">
        <f t="shared" si="6"/>
        <v>667478</v>
      </c>
      <c r="F52"/>
      <c r="G52" s="28">
        <f>+Alloc!W197</f>
        <v>292689</v>
      </c>
      <c r="H52"/>
      <c r="I52" s="28">
        <f>+Alloc!Y197</f>
        <v>281275</v>
      </c>
      <c r="J52"/>
      <c r="K52" s="28">
        <f>+Alloc!AA197</f>
        <v>44187</v>
      </c>
      <c r="L52"/>
      <c r="M52" s="28">
        <f>+Alloc!AC197</f>
        <v>27033</v>
      </c>
      <c r="N52"/>
      <c r="O52" s="28">
        <f>+Alloc!AE197</f>
        <v>5607</v>
      </c>
      <c r="P52" s="28">
        <f>+Alloc!AF197</f>
        <v>0</v>
      </c>
      <c r="Q52" s="28">
        <f>+Alloc!AG197</f>
        <v>16687</v>
      </c>
    </row>
    <row r="53" spans="1:17">
      <c r="A53" s="421">
        <v>390</v>
      </c>
      <c r="B53"/>
      <c r="C53" s="87" t="s">
        <v>587</v>
      </c>
      <c r="D53"/>
      <c r="E53" s="224">
        <f t="shared" si="6"/>
        <v>2402048</v>
      </c>
      <c r="F53" t="s">
        <v>350</v>
      </c>
      <c r="G53" s="28">
        <f>+Alloc!W205</f>
        <v>1912531</v>
      </c>
      <c r="H53"/>
      <c r="I53" s="28">
        <f>+Alloc!Y205</f>
        <v>363343</v>
      </c>
      <c r="J53"/>
      <c r="K53" s="28">
        <f>+Alloc!AA205</f>
        <v>57869</v>
      </c>
      <c r="L53"/>
      <c r="M53" s="28">
        <f>+Alloc!AC205</f>
        <v>38896</v>
      </c>
      <c r="N53"/>
      <c r="O53" s="28">
        <f>+Alloc!AE205</f>
        <v>8064</v>
      </c>
      <c r="P53" s="28">
        <f>+Alloc!AF205</f>
        <v>0</v>
      </c>
      <c r="Q53" s="28">
        <f>+Alloc!AG205</f>
        <v>21345</v>
      </c>
    </row>
    <row r="54" spans="1:17">
      <c r="A54" s="421">
        <v>391</v>
      </c>
      <c r="B54"/>
      <c r="C54" s="149" t="s">
        <v>294</v>
      </c>
      <c r="D54"/>
      <c r="E54" s="224">
        <f t="shared" si="6"/>
        <v>10566535</v>
      </c>
      <c r="F54" t="s">
        <v>350</v>
      </c>
      <c r="G54" s="28">
        <f>+Alloc!W206+Alloc!W219+Alloc!W226</f>
        <v>8866264</v>
      </c>
      <c r="H54" s="28"/>
      <c r="I54" s="28">
        <f>+Alloc!Y206+Alloc!Y219+Alloc!Y226</f>
        <v>1372632</v>
      </c>
      <c r="J54" s="28"/>
      <c r="K54" s="28">
        <f>+Alloc!AA206+Alloc!AA219+Alloc!AA226</f>
        <v>153078</v>
      </c>
      <c r="L54" s="28"/>
      <c r="M54" s="28">
        <f>+Alloc!AC206+Alloc!AC219+Alloc!AC226</f>
        <v>98950</v>
      </c>
      <c r="N54" s="28"/>
      <c r="O54" s="28">
        <f>+Alloc!AE206+Alloc!AE219+Alloc!AE226</f>
        <v>20305</v>
      </c>
      <c r="P54" s="28"/>
      <c r="Q54" s="28">
        <f>+Alloc!AG206+Alloc!AG219+Alloc!AG226</f>
        <v>55306</v>
      </c>
    </row>
    <row r="55" spans="1:17" ht="2.4500000000000002" customHeight="1">
      <c r="A55" s="542"/>
      <c r="B55"/>
      <c r="C55"/>
      <c r="D55"/>
      <c r="E55" s="212"/>
      <c r="F55"/>
      <c r="G55" s="31"/>
      <c r="H55" s="28"/>
      <c r="I55" s="31"/>
      <c r="J55" s="28"/>
      <c r="K55" s="31"/>
      <c r="L55" s="28"/>
      <c r="M55" s="31"/>
      <c r="N55" s="28"/>
      <c r="O55" s="31"/>
      <c r="P55" s="31"/>
      <c r="Q55" s="31"/>
    </row>
    <row r="56" spans="1:17" ht="9.6" customHeight="1">
      <c r="A56" s="421"/>
      <c r="B56"/>
      <c r="C56"/>
      <c r="D56"/>
      <c r="E56" s="29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>
      <c r="A57" s="543" t="s">
        <v>147</v>
      </c>
      <c r="B57"/>
      <c r="C57"/>
      <c r="D57" s="29"/>
      <c r="E57" s="30">
        <f>SUM(E47:E56)</f>
        <v>55157301</v>
      </c>
      <c r="F57" s="29"/>
      <c r="G57" s="30">
        <f>SUM(G47:G56)</f>
        <v>44199933</v>
      </c>
      <c r="H57" s="30">
        <f>SUM(H47:H56)</f>
        <v>0</v>
      </c>
      <c r="I57" s="30">
        <f>SUM(I47:I56)</f>
        <v>9021756</v>
      </c>
      <c r="J57" s="30"/>
      <c r="K57" s="30">
        <f>SUM(K47:K56)</f>
        <v>885972</v>
      </c>
      <c r="L57" s="30"/>
      <c r="M57" s="30">
        <f>SUM(M47:M56)</f>
        <v>622737</v>
      </c>
      <c r="N57" s="30">
        <f>SUM(N47:N56)</f>
        <v>0</v>
      </c>
      <c r="O57" s="30">
        <f>SUM(O47:O56)</f>
        <v>106779</v>
      </c>
      <c r="P57" s="30">
        <f t="shared" ref="P57:Q57" si="7">SUM(P47:P56)</f>
        <v>0</v>
      </c>
      <c r="Q57" s="30">
        <f t="shared" si="7"/>
        <v>320124</v>
      </c>
    </row>
    <row r="58" spans="1:17" ht="9" customHeight="1">
      <c r="A58" s="421"/>
      <c r="B58"/>
      <c r="C58"/>
      <c r="D58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>
      <c r="A59" s="549" t="s">
        <v>141</v>
      </c>
      <c r="B59"/>
      <c r="C59"/>
      <c r="D59"/>
      <c r="E59"/>
      <c r="F5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>
      <c r="A60" s="421">
        <v>380</v>
      </c>
      <c r="B60"/>
      <c r="C60" s="149" t="s">
        <v>290</v>
      </c>
      <c r="D60"/>
      <c r="E60" s="224">
        <f>+SUM(G60:Q60)</f>
        <v>759978931</v>
      </c>
      <c r="F60"/>
      <c r="G60" s="28">
        <f>+Alloc!W308</f>
        <v>662397636</v>
      </c>
      <c r="H60"/>
      <c r="I60" s="28">
        <f>+Alloc!Y308</f>
        <v>88461548</v>
      </c>
      <c r="J60"/>
      <c r="K60" s="28">
        <f>+Alloc!AA308</f>
        <v>3723897</v>
      </c>
      <c r="L60"/>
      <c r="M60" s="28">
        <f>+Alloc!AC308</f>
        <v>3951890</v>
      </c>
      <c r="N60"/>
      <c r="O60" s="28">
        <f>+Alloc!AE308</f>
        <v>303992</v>
      </c>
      <c r="P60" s="28">
        <f>+Alloc!AF308</f>
        <v>0</v>
      </c>
      <c r="Q60" s="28">
        <f>+Alloc!AG308</f>
        <v>1139968</v>
      </c>
    </row>
    <row r="61" spans="1:17">
      <c r="A61" s="421">
        <v>381</v>
      </c>
      <c r="B61"/>
      <c r="C61" s="149" t="s">
        <v>291</v>
      </c>
      <c r="D61"/>
      <c r="E61" s="224">
        <f t="shared" ref="E61:E69" si="8">+SUM(G61:Q61)</f>
        <v>80023418</v>
      </c>
      <c r="F61"/>
      <c r="G61" s="28">
        <f>+Alloc!W309</f>
        <v>35090269</v>
      </c>
      <c r="H61"/>
      <c r="I61" s="28">
        <f>+Alloc!Y309</f>
        <v>33721869</v>
      </c>
      <c r="J61"/>
      <c r="K61" s="28">
        <f>+Alloc!AA309</f>
        <v>5297550</v>
      </c>
      <c r="L61"/>
      <c r="M61" s="28">
        <f>+Alloc!AC309</f>
        <v>3240948</v>
      </c>
      <c r="N61"/>
      <c r="O61" s="28">
        <f>+Alloc!AE309</f>
        <v>672197</v>
      </c>
      <c r="P61" s="28">
        <f>+Alloc!AF309</f>
        <v>0</v>
      </c>
      <c r="Q61" s="28">
        <f>+Alloc!AG309</f>
        <v>2000585</v>
      </c>
    </row>
    <row r="62" spans="1:17">
      <c r="A62" s="421">
        <v>382</v>
      </c>
      <c r="B62"/>
      <c r="C62" s="149" t="s">
        <v>292</v>
      </c>
      <c r="D62"/>
      <c r="E62" s="224">
        <f t="shared" si="8"/>
        <v>59289481</v>
      </c>
      <c r="F62"/>
      <c r="G62" s="28">
        <f>+Alloc!W310</f>
        <v>25998437</v>
      </c>
      <c r="H62"/>
      <c r="I62" s="28">
        <f>+Alloc!Y310</f>
        <v>24984587</v>
      </c>
      <c r="J62"/>
      <c r="K62" s="28">
        <f>+Alloc!AA310</f>
        <v>3924964</v>
      </c>
      <c r="L62"/>
      <c r="M62" s="28">
        <f>+Alloc!AC310</f>
        <v>2401224</v>
      </c>
      <c r="N62"/>
      <c r="O62" s="28">
        <f>+Alloc!AE310</f>
        <v>498032</v>
      </c>
      <c r="P62" s="28">
        <f>+Alloc!AF310</f>
        <v>0</v>
      </c>
      <c r="Q62" s="28">
        <f>+Alloc!AG310</f>
        <v>1482237</v>
      </c>
    </row>
    <row r="63" spans="1:17">
      <c r="A63" s="421">
        <v>383</v>
      </c>
      <c r="B63"/>
      <c r="C63" s="149" t="s">
        <v>162</v>
      </c>
      <c r="D63"/>
      <c r="E63" s="224">
        <f t="shared" si="8"/>
        <v>8861138</v>
      </c>
      <c r="F63"/>
      <c r="G63" s="28">
        <f>+Alloc!W311</f>
        <v>7818182</v>
      </c>
      <c r="H63"/>
      <c r="I63" s="28">
        <f>+Alloc!Y311</f>
        <v>1042956</v>
      </c>
      <c r="J63"/>
      <c r="K63" s="28">
        <f>+Alloc!AA311</f>
        <v>0</v>
      </c>
      <c r="L63"/>
      <c r="M63" s="28">
        <f>+Alloc!AC311</f>
        <v>0</v>
      </c>
      <c r="N63"/>
      <c r="O63" s="28">
        <f>+Alloc!AE311</f>
        <v>0</v>
      </c>
      <c r="P63" s="28">
        <f>+Alloc!AF311</f>
        <v>0</v>
      </c>
      <c r="Q63" s="28">
        <f>+Alloc!AG311</f>
        <v>0</v>
      </c>
    </row>
    <row r="64" spans="1:17">
      <c r="A64" s="421">
        <v>384</v>
      </c>
      <c r="B64"/>
      <c r="C64" s="149" t="s">
        <v>163</v>
      </c>
      <c r="D64"/>
      <c r="E64" s="224">
        <f t="shared" si="8"/>
        <v>9277681</v>
      </c>
      <c r="F64"/>
      <c r="G64" s="28">
        <f>+Alloc!W312</f>
        <v>8185698</v>
      </c>
      <c r="H64"/>
      <c r="I64" s="28">
        <f>+Alloc!Y312</f>
        <v>1091983</v>
      </c>
      <c r="J64"/>
      <c r="K64" s="28">
        <f>+Alloc!AA312</f>
        <v>0</v>
      </c>
      <c r="L64"/>
      <c r="M64" s="28">
        <f>+Alloc!AC312</f>
        <v>0</v>
      </c>
      <c r="N64"/>
      <c r="O64" s="28">
        <f>+Alloc!AE312</f>
        <v>0</v>
      </c>
      <c r="P64" s="28">
        <f>+Alloc!AF312</f>
        <v>0</v>
      </c>
      <c r="Q64" s="28">
        <f>+Alloc!AG312</f>
        <v>0</v>
      </c>
    </row>
    <row r="65" spans="1:17">
      <c r="A65" s="421">
        <v>385</v>
      </c>
      <c r="B65"/>
      <c r="C65" s="87" t="s">
        <v>450</v>
      </c>
      <c r="D65"/>
      <c r="E65" s="224">
        <f t="shared" si="8"/>
        <v>17273671</v>
      </c>
      <c r="F65"/>
      <c r="G65" s="28">
        <f>+Alloc!W313</f>
        <v>7574504</v>
      </c>
      <c r="H65"/>
      <c r="I65" s="28">
        <f>+Alloc!Y313</f>
        <v>7279125</v>
      </c>
      <c r="J65"/>
      <c r="K65" s="28">
        <f>+Alloc!AA313</f>
        <v>1143517</v>
      </c>
      <c r="L65"/>
      <c r="M65" s="28">
        <f>+Alloc!AC313</f>
        <v>699584</v>
      </c>
      <c r="N65"/>
      <c r="O65" s="28">
        <f>+Alloc!AE313</f>
        <v>145099</v>
      </c>
      <c r="P65" s="28">
        <f>+Alloc!AF313</f>
        <v>0</v>
      </c>
      <c r="Q65" s="28">
        <f>+Alloc!AG313</f>
        <v>431842</v>
      </c>
    </row>
    <row r="66" spans="1:17">
      <c r="A66" s="421">
        <v>390</v>
      </c>
      <c r="B66"/>
      <c r="C66" s="149" t="s">
        <v>289</v>
      </c>
      <c r="D66"/>
      <c r="E66" s="224">
        <f t="shared" si="8"/>
        <v>42142680</v>
      </c>
      <c r="F66" s="29" t="s">
        <v>350</v>
      </c>
      <c r="G66" s="30">
        <f>+Alloc!W322</f>
        <v>33554361</v>
      </c>
      <c r="H66" s="29"/>
      <c r="I66" s="30">
        <f>+Alloc!Y322</f>
        <v>6374663</v>
      </c>
      <c r="J66" s="29"/>
      <c r="K66" s="30">
        <f>+Alloc!AA322</f>
        <v>1015286</v>
      </c>
      <c r="L66" s="29"/>
      <c r="M66" s="30">
        <f>+Alloc!AC322</f>
        <v>682405</v>
      </c>
      <c r="N66" s="29"/>
      <c r="O66" s="30">
        <f>+Alloc!AE322</f>
        <v>141474</v>
      </c>
      <c r="P66" s="30">
        <f>+Alloc!AF322</f>
        <v>0</v>
      </c>
      <c r="Q66" s="30">
        <f>+Alloc!AG322</f>
        <v>374491</v>
      </c>
    </row>
    <row r="67" spans="1:17">
      <c r="A67" s="421">
        <v>391</v>
      </c>
      <c r="B67"/>
      <c r="C67" s="87" t="s">
        <v>586</v>
      </c>
      <c r="D67" s="29"/>
      <c r="E67" s="224">
        <f t="shared" si="8"/>
        <v>102529680</v>
      </c>
      <c r="F67" s="29" t="s">
        <v>350</v>
      </c>
      <c r="G67" s="30">
        <f>+Alloc!W323+Alloc!W340+Alloc!W348</f>
        <v>86958909</v>
      </c>
      <c r="H67" s="30"/>
      <c r="I67" s="30">
        <f>+Alloc!Y323+Alloc!Y340+Alloc!Y348</f>
        <v>12857035</v>
      </c>
      <c r="J67" s="30"/>
      <c r="K67" s="30">
        <f>+Alloc!AA323+Alloc!AA340+Alloc!AA348</f>
        <v>1277644</v>
      </c>
      <c r="L67" s="30"/>
      <c r="M67" s="30">
        <f>+Alloc!AC323+Alloc!AC340+Alloc!AC348</f>
        <v>812455</v>
      </c>
      <c r="N67" s="30"/>
      <c r="O67" s="30">
        <f>+Alloc!AE323+Alloc!AE340+Alloc!AE348</f>
        <v>165966</v>
      </c>
      <c r="P67" s="30"/>
      <c r="Q67" s="30">
        <f>+Alloc!AG323+Alloc!AG340+Alloc!AG348</f>
        <v>457671</v>
      </c>
    </row>
    <row r="68" spans="1:17">
      <c r="A68" s="88"/>
      <c r="B68"/>
      <c r="C68" s="149" t="s">
        <v>352</v>
      </c>
      <c r="D68"/>
      <c r="E68" s="224">
        <f t="shared" si="8"/>
        <v>-220371418</v>
      </c>
      <c r="F68" s="29" t="s">
        <v>350</v>
      </c>
      <c r="G68" s="30">
        <f>+Alloc!W367</f>
        <v>-176687987</v>
      </c>
      <c r="H68" s="29"/>
      <c r="I68" s="30">
        <f>+Alloc!Y367</f>
        <v>-35981353</v>
      </c>
      <c r="J68" s="29"/>
      <c r="K68" s="30">
        <f>+Alloc!AA367</f>
        <v>-3506170</v>
      </c>
      <c r="L68" s="29"/>
      <c r="M68" s="30">
        <f>+Alloc!AC367</f>
        <v>-2529041</v>
      </c>
      <c r="N68" s="29"/>
      <c r="O68" s="30">
        <f>+Alloc!AE367</f>
        <v>-402347</v>
      </c>
      <c r="P68" s="30">
        <f>+Alloc!AF367</f>
        <v>0</v>
      </c>
      <c r="Q68" s="30">
        <f>+Alloc!AG367</f>
        <v>-1264520</v>
      </c>
    </row>
    <row r="69" spans="1:17">
      <c r="A69" s="88"/>
      <c r="B69" s="87"/>
      <c r="C69" s="87" t="s">
        <v>41</v>
      </c>
      <c r="D69" s="87"/>
      <c r="E69" s="226">
        <f t="shared" si="8"/>
        <v>-18920000</v>
      </c>
      <c r="F69" s="269"/>
      <c r="G69" s="243">
        <f>+Alloc!W368</f>
        <v>-16967456</v>
      </c>
      <c r="H69" s="269"/>
      <c r="I69" s="243">
        <f>+Alloc!Y368</f>
        <v>-1952544</v>
      </c>
      <c r="J69" s="269"/>
      <c r="K69" s="243">
        <f>+Alloc!AA368</f>
        <v>0</v>
      </c>
      <c r="L69" s="269"/>
      <c r="M69" s="243">
        <f>+Alloc!AC368</f>
        <v>0</v>
      </c>
      <c r="N69" s="269"/>
      <c r="O69" s="243">
        <f>+Alloc!AE368</f>
        <v>0</v>
      </c>
      <c r="P69" s="269">
        <f>+Alloc!AF368</f>
        <v>0</v>
      </c>
      <c r="Q69" s="243">
        <f>+Alloc!AG368</f>
        <v>0</v>
      </c>
    </row>
    <row r="70" spans="1:17" ht="9" customHeight="1">
      <c r="A70" s="88"/>
      <c r="B70" s="11"/>
      <c r="C70" s="11"/>
      <c r="D70" s="11"/>
      <c r="E70" s="11"/>
      <c r="F70" s="11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88" t="s">
        <v>148</v>
      </c>
      <c r="B71" s="11"/>
      <c r="C71" s="11"/>
      <c r="D71" s="11"/>
      <c r="E71" s="31">
        <f>SUM(E60:E70)</f>
        <v>840085262</v>
      </c>
      <c r="F71" s="11"/>
      <c r="G71" s="31">
        <f>SUM(G60:G70)</f>
        <v>673922553</v>
      </c>
      <c r="H71" s="11"/>
      <c r="I71" s="31">
        <f>SUM(I60:I70)</f>
        <v>137879869</v>
      </c>
      <c r="J71" s="11"/>
      <c r="K71" s="31">
        <f>SUM(K60:K70)</f>
        <v>12876688</v>
      </c>
      <c r="L71" s="11"/>
      <c r="M71" s="31">
        <f>SUM(M60:M70)</f>
        <v>9259465</v>
      </c>
      <c r="N71" s="11"/>
      <c r="O71" s="31">
        <f>SUM(O60:O70)</f>
        <v>1524413</v>
      </c>
      <c r="P71" s="11"/>
      <c r="Q71" s="31">
        <f t="shared" ref="Q71" si="9">SUM(Q60:Q70)</f>
        <v>4622274</v>
      </c>
    </row>
    <row r="72" spans="1:17" ht="7.9" customHeight="1">
      <c r="A72" s="88"/>
      <c r="B72" s="11"/>
      <c r="C72" s="11"/>
      <c r="D72" s="11"/>
      <c r="E72" s="11"/>
      <c r="F72" s="11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>
      <c r="A73" s="88" t="s">
        <v>142</v>
      </c>
      <c r="B73" s="11"/>
      <c r="C73" s="11"/>
      <c r="D73" s="11"/>
      <c r="E73" s="11"/>
      <c r="F73" s="11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>
      <c r="B74" s="90" t="s">
        <v>143</v>
      </c>
      <c r="C74" s="220">
        <f>+(Alloc!I248+Alloc!I246)/Alloc!I372</f>
        <v>0.10175571836325929</v>
      </c>
      <c r="D74" s="11"/>
      <c r="E74" s="186">
        <f>+E71*$C$74</f>
        <v>85483479.321196899</v>
      </c>
      <c r="F74" s="11"/>
      <c r="G74" s="186">
        <f>+G71*$C$74</f>
        <v>68575473.501716688</v>
      </c>
      <c r="H74" s="11"/>
      <c r="I74" s="186">
        <f>+I71*$C$74</f>
        <v>14030065.117927086</v>
      </c>
      <c r="J74" s="11"/>
      <c r="K74" s="186">
        <f>+K71*$C$74</f>
        <v>1310276.6375795605</v>
      </c>
      <c r="L74" s="11"/>
      <c r="M74" s="186">
        <f>+M71*$C$74</f>
        <v>942203.51273445669</v>
      </c>
      <c r="N74" s="11"/>
      <c r="O74" s="186">
        <f>+O71*$C$74</f>
        <v>155117.73989729118</v>
      </c>
      <c r="P74" s="11"/>
      <c r="Q74" s="186">
        <f t="shared" ref="Q74" si="10">+Q71*$C$74</f>
        <v>470342.81134181598</v>
      </c>
    </row>
    <row r="75" spans="1:17" ht="7.9" customHeight="1">
      <c r="A75" s="88"/>
      <c r="B75" s="11"/>
      <c r="C75" s="11"/>
      <c r="D75" s="11"/>
      <c r="E75" s="11"/>
      <c r="F75" s="11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7" ht="7.15" customHeight="1">
      <c r="A76" s="88"/>
      <c r="B76" s="11"/>
      <c r="C76" s="11"/>
      <c r="D76" s="11"/>
      <c r="E76" s="11"/>
      <c r="F76" s="11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7" ht="15.75" thickBot="1">
      <c r="A77" s="88" t="s">
        <v>144</v>
      </c>
      <c r="B77" s="11"/>
      <c r="C77" s="11"/>
      <c r="D77" s="11"/>
      <c r="E77" s="400">
        <f>+SUM(G77:Q77)</f>
        <v>222479015.70780471</v>
      </c>
      <c r="F77" s="11"/>
      <c r="G77" s="400">
        <f>+G74+G57+G44</f>
        <v>178852837.1567595</v>
      </c>
      <c r="H77" s="11"/>
      <c r="I77" s="400">
        <f>+I74+I57+I44</f>
        <v>34961681.849492095</v>
      </c>
      <c r="J77" s="11"/>
      <c r="K77" s="400">
        <f>+K74+K57+K44</f>
        <v>3974952.6375795603</v>
      </c>
      <c r="L77" s="11"/>
      <c r="M77" s="400">
        <f>+M74+M57+M44</f>
        <v>2745827.5127344569</v>
      </c>
      <c r="N77" s="11"/>
      <c r="O77" s="400">
        <f>+O74+O57+O44</f>
        <v>499764.73989729118</v>
      </c>
      <c r="P77" s="25"/>
      <c r="Q77" s="400">
        <f>+Q74+Q57+Q44</f>
        <v>1443951.8113418161</v>
      </c>
    </row>
    <row r="78" spans="1:17" ht="15.75" thickTop="1">
      <c r="A78" s="88"/>
      <c r="B78" s="11"/>
      <c r="C78" s="11"/>
      <c r="D78" s="11"/>
      <c r="E78" s="26"/>
      <c r="F78" s="11"/>
      <c r="G78" s="26"/>
      <c r="H78" s="11"/>
      <c r="I78" s="26"/>
      <c r="J78" s="11"/>
      <c r="K78" s="26"/>
      <c r="L78" s="11"/>
      <c r="M78" s="26"/>
      <c r="N78" s="11"/>
      <c r="O78" s="26"/>
    </row>
    <row r="79" spans="1:17" ht="10.9" customHeight="1">
      <c r="A79" s="88"/>
      <c r="B79" s="11"/>
      <c r="C79" s="11"/>
      <c r="D79" s="11"/>
      <c r="E79" s="26"/>
      <c r="F79" s="11"/>
      <c r="G79" s="26"/>
      <c r="H79" s="11"/>
      <c r="I79" s="26"/>
      <c r="J79" s="11"/>
      <c r="K79" s="26"/>
      <c r="L79" s="11"/>
      <c r="M79" s="26"/>
      <c r="N79" s="11"/>
      <c r="O79" s="26"/>
    </row>
    <row r="80" spans="1:17">
      <c r="A80" s="34" t="s">
        <v>17</v>
      </c>
      <c r="B80" s="11"/>
      <c r="C80" s="11"/>
      <c r="D80" s="11"/>
      <c r="E80" s="224">
        <f>+SUM(G80:Q80)</f>
        <v>7956826.7733333334</v>
      </c>
      <c r="F80" s="11"/>
      <c r="G80" s="25">
        <f>+G12</f>
        <v>7109604</v>
      </c>
      <c r="H80" s="11"/>
      <c r="I80" s="25">
        <f>+I12</f>
        <v>817726.77333333332</v>
      </c>
      <c r="J80" s="11"/>
      <c r="K80" s="25">
        <f>+K12</f>
        <v>18648</v>
      </c>
      <c r="L80" s="11"/>
      <c r="M80" s="25">
        <f>+M12</f>
        <v>5640</v>
      </c>
      <c r="N80" s="11"/>
      <c r="O80" s="25">
        <f>+O12</f>
        <v>648</v>
      </c>
      <c r="P80" s="25"/>
      <c r="Q80" s="25">
        <f>+Q12</f>
        <v>4560</v>
      </c>
    </row>
    <row r="81" spans="1:17">
      <c r="A81" s="34"/>
      <c r="B81" s="11"/>
      <c r="C81" s="11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25"/>
      <c r="Q81" s="25"/>
    </row>
    <row r="82" spans="1:17" ht="15.75">
      <c r="A82" s="81" t="s">
        <v>145</v>
      </c>
      <c r="B82" s="86"/>
      <c r="C82" s="86"/>
      <c r="D82" s="86"/>
      <c r="E82" s="91"/>
      <c r="F82" s="86"/>
      <c r="G82" s="91">
        <f>G77/G80</f>
        <v>25.156511833395996</v>
      </c>
      <c r="H82" s="91"/>
      <c r="I82" s="91">
        <f t="shared" ref="I82:Q82" si="11">I77/I80</f>
        <v>42.754723202930428</v>
      </c>
      <c r="J82" s="91"/>
      <c r="K82" s="91">
        <f t="shared" si="11"/>
        <v>213.15704834725227</v>
      </c>
      <c r="L82" s="91"/>
      <c r="M82" s="91">
        <f t="shared" si="11"/>
        <v>486.8488497756129</v>
      </c>
      <c r="N82" s="91"/>
      <c r="O82" s="91">
        <f t="shared" si="11"/>
        <v>771.24188255754814</v>
      </c>
      <c r="P82" s="91"/>
      <c r="Q82" s="91">
        <f t="shared" si="11"/>
        <v>316.65609897846844</v>
      </c>
    </row>
    <row r="83" spans="1:17">
      <c r="A83" s="227"/>
      <c r="B83" s="227"/>
      <c r="C83" s="227"/>
    </row>
    <row r="84" spans="1:17">
      <c r="A84" s="1" t="s">
        <v>351</v>
      </c>
    </row>
  </sheetData>
  <mergeCells count="3">
    <mergeCell ref="A7:B7"/>
    <mergeCell ref="A1:Q1"/>
    <mergeCell ref="A3:Q3"/>
  </mergeCells>
  <phoneticPr fontId="9" type="noConversion"/>
  <printOptions horizontalCentered="1"/>
  <pageMargins left="0.4" right="0.4" top="0.75" bottom="0.2" header="0" footer="0"/>
  <pageSetup scale="78" orientation="landscape" r:id="rId1"/>
  <headerFooter alignWithMargins="0"/>
  <rowBreaks count="1" manualBreakCount="1">
    <brk id="45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R26"/>
  <sheetViews>
    <sheetView workbookViewId="0">
      <selection activeCell="L14" sqref="L14"/>
    </sheetView>
  </sheetViews>
  <sheetFormatPr defaultRowHeight="15"/>
  <cols>
    <col min="2" max="2" width="17.5546875" customWidth="1"/>
    <col min="4" max="4" width="3" customWidth="1"/>
    <col min="6" max="6" width="11.77734375" customWidth="1"/>
    <col min="7" max="7" width="7.33203125" customWidth="1"/>
    <col min="8" max="8" width="11.21875" bestFit="1" customWidth="1"/>
  </cols>
  <sheetData>
    <row r="1" spans="2:18">
      <c r="B1" s="287"/>
      <c r="C1" s="287"/>
      <c r="D1" s="287"/>
      <c r="E1" s="287"/>
      <c r="F1" s="287"/>
      <c r="G1" s="287"/>
      <c r="H1" s="287"/>
      <c r="I1" s="287"/>
    </row>
    <row r="2" spans="2:18">
      <c r="B2" s="1030" t="s">
        <v>802</v>
      </c>
      <c r="C2" s="1030"/>
      <c r="D2" s="1030"/>
      <c r="E2" s="1030"/>
      <c r="F2" s="1030"/>
      <c r="G2" s="1030"/>
      <c r="H2" s="1030"/>
      <c r="I2" s="287"/>
    </row>
    <row r="3" spans="2:18">
      <c r="B3" s="87"/>
      <c r="C3" s="87"/>
      <c r="D3" s="87"/>
      <c r="E3" s="87"/>
      <c r="F3" s="87"/>
      <c r="G3" s="87"/>
      <c r="H3" s="87"/>
      <c r="I3" s="287"/>
    </row>
    <row r="4" spans="2:18">
      <c r="B4" s="1047" t="s">
        <v>594</v>
      </c>
      <c r="C4" s="1047"/>
      <c r="D4" s="1047"/>
      <c r="E4" s="1047"/>
      <c r="F4" s="1047"/>
      <c r="G4" s="1047"/>
      <c r="H4" s="1047"/>
      <c r="I4" s="856"/>
      <c r="J4" s="34"/>
      <c r="K4" s="34"/>
      <c r="L4" s="34"/>
      <c r="M4" s="34"/>
      <c r="N4" s="34"/>
      <c r="O4" s="34"/>
      <c r="P4" s="34"/>
      <c r="Q4" s="34"/>
      <c r="R4" s="34"/>
    </row>
    <row r="5" spans="2:18">
      <c r="B5" s="573"/>
      <c r="C5" s="573"/>
      <c r="D5" s="573"/>
      <c r="E5" s="573"/>
      <c r="F5" s="573"/>
      <c r="G5" s="573"/>
      <c r="H5" s="573"/>
      <c r="I5" s="856"/>
      <c r="J5" s="34"/>
      <c r="K5" s="34"/>
      <c r="L5" s="34"/>
      <c r="M5" s="34"/>
      <c r="N5" s="34"/>
      <c r="O5" s="34"/>
      <c r="P5" s="34"/>
      <c r="Q5" s="34"/>
      <c r="R5" s="34"/>
    </row>
    <row r="6" spans="2:18">
      <c r="B6" s="87"/>
      <c r="C6" s="87"/>
      <c r="D6" s="87"/>
      <c r="E6" s="87"/>
      <c r="F6" s="87"/>
      <c r="G6" s="87"/>
      <c r="H6" s="87"/>
      <c r="I6" s="287"/>
    </row>
    <row r="7" spans="2:18">
      <c r="B7" s="1046" t="s">
        <v>588</v>
      </c>
      <c r="C7" s="1046"/>
      <c r="D7" s="87"/>
      <c r="E7" s="87"/>
      <c r="F7" s="961" t="s">
        <v>316</v>
      </c>
      <c r="G7" s="87"/>
      <c r="H7" s="961" t="s">
        <v>461</v>
      </c>
      <c r="I7" s="287"/>
    </row>
    <row r="8" spans="2:18">
      <c r="B8" s="87"/>
      <c r="C8" s="87"/>
      <c r="D8" s="87"/>
      <c r="E8" s="87"/>
      <c r="F8" s="87"/>
      <c r="G8" s="87"/>
      <c r="H8" s="87"/>
      <c r="I8" s="287"/>
    </row>
    <row r="9" spans="2:18">
      <c r="B9" s="87" t="s">
        <v>213</v>
      </c>
      <c r="C9" s="87"/>
      <c r="D9" s="87"/>
      <c r="E9" s="87"/>
      <c r="F9" s="962">
        <f>+Alloc!Q232</f>
        <v>3127825</v>
      </c>
      <c r="G9" s="963"/>
      <c r="H9" s="962">
        <f>+Alloc!S232</f>
        <v>2916933</v>
      </c>
      <c r="I9" s="287"/>
    </row>
    <row r="10" spans="2:18">
      <c r="B10" s="87"/>
      <c r="C10" s="87"/>
      <c r="D10" s="87"/>
      <c r="E10" s="87"/>
      <c r="F10" s="963"/>
      <c r="G10" s="963"/>
      <c r="H10" s="963"/>
      <c r="I10" s="287"/>
    </row>
    <row r="11" spans="2:18">
      <c r="B11" s="87" t="s">
        <v>516</v>
      </c>
      <c r="C11" s="87"/>
      <c r="D11" s="87"/>
      <c r="E11" s="87"/>
      <c r="F11" s="963">
        <f>+Alloc!Q242</f>
        <v>298115</v>
      </c>
      <c r="G11" s="963"/>
      <c r="H11" s="963">
        <f>+Alloc!S242</f>
        <v>444555</v>
      </c>
      <c r="I11" s="287"/>
    </row>
    <row r="12" spans="2:18">
      <c r="B12" s="87"/>
      <c r="C12" s="87"/>
      <c r="D12" s="87"/>
      <c r="E12" s="87"/>
      <c r="F12" s="963"/>
      <c r="G12" s="963"/>
      <c r="H12" s="963"/>
      <c r="I12" s="287"/>
    </row>
    <row r="13" spans="2:18">
      <c r="B13" s="87" t="s">
        <v>589</v>
      </c>
      <c r="C13" s="87"/>
      <c r="D13" s="87"/>
      <c r="E13" s="87"/>
      <c r="F13" s="963">
        <f>+Alloc!Q246</f>
        <v>1865176</v>
      </c>
      <c r="G13" s="963"/>
      <c r="H13" s="963">
        <f>+Alloc!S246</f>
        <v>1613840</v>
      </c>
      <c r="I13" s="287"/>
    </row>
    <row r="14" spans="2:18">
      <c r="B14" s="87"/>
      <c r="C14" s="87"/>
      <c r="D14" s="87"/>
      <c r="E14" s="87"/>
      <c r="F14" s="963"/>
      <c r="G14" s="963"/>
      <c r="H14" s="963"/>
      <c r="I14" s="287"/>
    </row>
    <row r="15" spans="2:18">
      <c r="B15" s="87" t="s">
        <v>590</v>
      </c>
      <c r="C15" s="87"/>
      <c r="D15" s="87"/>
      <c r="E15" s="87"/>
      <c r="F15" s="964">
        <f>+Alloc!Q248</f>
        <v>8308270</v>
      </c>
      <c r="G15" s="963"/>
      <c r="H15" s="964">
        <f>+Alloc!S248</f>
        <v>7188716</v>
      </c>
      <c r="I15" s="287"/>
    </row>
    <row r="16" spans="2:18">
      <c r="B16" s="87"/>
      <c r="C16" s="87"/>
      <c r="D16" s="87"/>
      <c r="E16" s="87"/>
      <c r="F16" s="965"/>
      <c r="G16" s="965"/>
      <c r="H16" s="965"/>
      <c r="I16" s="287"/>
    </row>
    <row r="17" spans="2:9">
      <c r="B17" s="87" t="s">
        <v>591</v>
      </c>
      <c r="C17" s="87"/>
      <c r="D17" s="87"/>
      <c r="E17" s="87"/>
      <c r="F17" s="966">
        <f>SUM(F9:F15)</f>
        <v>13599386</v>
      </c>
      <c r="G17" s="962"/>
      <c r="H17" s="966">
        <f t="shared" ref="H17" si="0">SUM(H9:H15)</f>
        <v>12164044</v>
      </c>
      <c r="I17" s="287"/>
    </row>
    <row r="18" spans="2:9">
      <c r="B18" s="87"/>
      <c r="C18" s="87"/>
      <c r="D18" s="87"/>
      <c r="E18" s="87"/>
      <c r="F18" s="965"/>
      <c r="G18" s="965"/>
      <c r="H18" s="965"/>
      <c r="I18" s="287"/>
    </row>
    <row r="19" spans="2:9">
      <c r="B19" s="87" t="s">
        <v>592</v>
      </c>
      <c r="C19" s="87"/>
      <c r="D19" s="87"/>
      <c r="E19" s="87"/>
      <c r="F19" s="962">
        <f>+F17/12</f>
        <v>1133282.1666666667</v>
      </c>
      <c r="G19" s="352"/>
      <c r="H19" s="962">
        <f t="shared" ref="H19" si="1">+H17/12</f>
        <v>1013670.3333333334</v>
      </c>
      <c r="I19" s="287"/>
    </row>
    <row r="20" spans="2:9">
      <c r="B20" s="87"/>
      <c r="C20" s="87"/>
      <c r="D20" s="87"/>
      <c r="E20" s="87"/>
      <c r="F20" s="965"/>
      <c r="G20" s="965"/>
      <c r="H20" s="965"/>
      <c r="I20" s="287"/>
    </row>
    <row r="21" spans="2:9">
      <c r="B21" s="87" t="s">
        <v>595</v>
      </c>
      <c r="C21" s="87"/>
      <c r="D21" s="87"/>
      <c r="E21" s="87"/>
      <c r="F21" s="352">
        <v>100602</v>
      </c>
      <c r="G21" s="965"/>
      <c r="H21" s="352">
        <v>645186</v>
      </c>
      <c r="I21" s="287"/>
    </row>
    <row r="22" spans="2:9">
      <c r="B22" s="87"/>
      <c r="C22" s="87"/>
      <c r="D22" s="87"/>
      <c r="E22" s="87"/>
      <c r="F22" s="965"/>
      <c r="G22" s="965"/>
      <c r="H22" s="965"/>
      <c r="I22" s="287"/>
    </row>
    <row r="23" spans="2:9">
      <c r="B23" s="87" t="s">
        <v>593</v>
      </c>
      <c r="C23" s="87"/>
      <c r="D23" s="87"/>
      <c r="E23" s="87"/>
      <c r="F23" s="967">
        <f>+F19/F21</f>
        <v>11.265006328568685</v>
      </c>
      <c r="G23" s="967"/>
      <c r="H23" s="967">
        <f t="shared" ref="H23" si="2">+H19/H21</f>
        <v>1.5711288424320016</v>
      </c>
      <c r="I23" s="287"/>
    </row>
    <row r="24" spans="2:9">
      <c r="B24" s="87"/>
      <c r="C24" s="87"/>
      <c r="D24" s="87"/>
      <c r="E24" s="87"/>
      <c r="F24" s="87"/>
      <c r="G24" s="87"/>
      <c r="H24" s="87"/>
      <c r="I24" s="287"/>
    </row>
    <row r="25" spans="2:9">
      <c r="B25" s="87"/>
      <c r="C25" s="87"/>
      <c r="D25" s="87"/>
      <c r="E25" s="87"/>
      <c r="F25" s="87"/>
      <c r="G25" s="87"/>
      <c r="H25" s="87"/>
      <c r="I25" s="287"/>
    </row>
    <row r="26" spans="2:9">
      <c r="B26" s="87"/>
      <c r="C26" s="87"/>
      <c r="D26" s="87"/>
      <c r="E26" s="87"/>
      <c r="F26" s="87"/>
      <c r="G26" s="87"/>
      <c r="H26" s="87"/>
    </row>
  </sheetData>
  <mergeCells count="3">
    <mergeCell ref="B7:C7"/>
    <mergeCell ref="B2:H2"/>
    <mergeCell ref="B4:H4"/>
  </mergeCells>
  <pageMargins left="1" right="0.9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DD6A-040A-4E3C-8E20-54D065FA220C}">
  <sheetPr>
    <tabColor indexed="34"/>
  </sheetPr>
  <dimension ref="A1:AB233"/>
  <sheetViews>
    <sheetView topLeftCell="A34" zoomScale="90" zoomScaleNormal="90" workbookViewId="0">
      <pane xSplit="3" topLeftCell="R1" activePane="topRight" state="frozen"/>
      <selection activeCell="A9" sqref="A9"/>
      <selection pane="topRight" activeCell="AA47" sqref="AA47"/>
    </sheetView>
  </sheetViews>
  <sheetFormatPr defaultRowHeight="15" outlineLevelCol="1"/>
  <cols>
    <col min="1" max="1" width="11.6640625" style="575" customWidth="1"/>
    <col min="2" max="2" width="6.109375" style="575" customWidth="1"/>
    <col min="3" max="3" width="45.88671875" style="575" customWidth="1"/>
    <col min="4" max="4" width="1.21875" style="575" customWidth="1"/>
    <col min="5" max="5" width="9.88671875" style="623" customWidth="1"/>
    <col min="6" max="6" width="1.33203125" style="623" customWidth="1"/>
    <col min="7" max="7" width="4.77734375" style="623" customWidth="1"/>
    <col min="8" max="8" width="1.33203125" style="623" customWidth="1"/>
    <col min="9" max="9" width="5.5546875" style="623" customWidth="1"/>
    <col min="10" max="10" width="1.33203125" style="623" customWidth="1"/>
    <col min="11" max="11" width="14.77734375" style="423" customWidth="1"/>
    <col min="12" max="12" width="1.33203125" style="575" customWidth="1"/>
    <col min="13" max="13" width="13.44140625" style="624" customWidth="1"/>
    <col min="14" max="14" width="1.33203125" style="624" customWidth="1"/>
    <col min="15" max="15" width="14.21875" style="624" customWidth="1"/>
    <col min="16" max="16" width="1.33203125" style="624" customWidth="1"/>
    <col min="17" max="17" width="7.21875" style="625" customWidth="1"/>
    <col min="18" max="18" width="1.33203125" style="624" customWidth="1"/>
    <col min="19" max="19" width="12.109375" style="624" customWidth="1"/>
    <col min="20" max="20" width="1.33203125" style="575" customWidth="1" outlineLevel="1"/>
    <col min="21" max="21" width="9.109375" style="627" customWidth="1" outlineLevel="1"/>
    <col min="22" max="22" width="12.109375" style="624" customWidth="1"/>
    <col min="23" max="23" width="12.109375" style="624" bestFit="1" customWidth="1" collapsed="1"/>
    <col min="24" max="24" width="13.21875" style="575" bestFit="1" customWidth="1"/>
    <col min="25" max="25" width="12.5546875" style="575" bestFit="1" customWidth="1"/>
    <col min="26" max="26" width="12.44140625" style="575" bestFit="1" customWidth="1"/>
    <col min="27" max="27" width="8.88671875" style="575"/>
    <col min="28" max="28" width="10.44140625" style="575" bestFit="1" customWidth="1"/>
    <col min="29" max="16384" width="8.88671875" style="575"/>
  </cols>
  <sheetData>
    <row r="1" spans="1:26" ht="15.75" customHeight="1">
      <c r="A1" s="574" t="s">
        <v>798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7"/>
      <c r="Y1" s="577"/>
      <c r="Z1" s="577"/>
    </row>
    <row r="2" spans="1:26" ht="9" customHeight="1">
      <c r="A2" s="574"/>
      <c r="B2" s="578"/>
      <c r="C2" s="578"/>
      <c r="D2" s="578"/>
      <c r="E2" s="579"/>
      <c r="F2" s="580"/>
      <c r="G2" s="579"/>
      <c r="H2" s="579"/>
      <c r="I2" s="579"/>
      <c r="J2" s="580"/>
      <c r="K2" s="574"/>
      <c r="L2" s="578"/>
      <c r="M2" s="581"/>
      <c r="N2" s="581"/>
      <c r="O2" s="581"/>
      <c r="P2" s="581"/>
      <c r="Q2" s="582"/>
      <c r="R2" s="581"/>
      <c r="S2" s="583"/>
      <c r="T2" s="578"/>
      <c r="U2" s="584"/>
      <c r="V2" s="583"/>
      <c r="W2" s="583"/>
      <c r="X2" s="577"/>
      <c r="Y2" s="577"/>
      <c r="Z2" s="577"/>
    </row>
    <row r="3" spans="1:26" ht="15.75">
      <c r="A3" s="585" t="s">
        <v>638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77"/>
      <c r="Y3" s="577"/>
      <c r="Z3" s="577"/>
    </row>
    <row r="4" spans="1:26" ht="15.75">
      <c r="A4" s="586" t="s">
        <v>639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77"/>
      <c r="Y4" s="577"/>
      <c r="Z4" s="577"/>
    </row>
    <row r="5" spans="1:26" ht="12.75" customHeight="1">
      <c r="A5" s="587"/>
      <c r="B5" s="587"/>
      <c r="C5" s="587"/>
      <c r="D5" s="587"/>
      <c r="E5" s="588"/>
      <c r="F5" s="589"/>
      <c r="G5" s="588"/>
      <c r="H5" s="588"/>
      <c r="I5" s="588"/>
      <c r="J5" s="589"/>
      <c r="K5" s="576"/>
      <c r="L5" s="587"/>
      <c r="M5" s="590"/>
      <c r="N5" s="590"/>
      <c r="O5" s="590"/>
      <c r="P5" s="590"/>
      <c r="Q5" s="591"/>
      <c r="R5" s="590"/>
      <c r="S5" s="592"/>
      <c r="T5" s="587"/>
      <c r="U5" s="593"/>
      <c r="V5" s="592"/>
      <c r="W5" s="592"/>
      <c r="X5" s="577"/>
      <c r="Y5" s="577"/>
      <c r="Z5" s="577"/>
    </row>
    <row r="6" spans="1:26" s="604" customFormat="1" ht="13.15" customHeight="1">
      <c r="A6" s="594"/>
      <c r="B6" s="594"/>
      <c r="C6" s="594"/>
      <c r="D6" s="594"/>
      <c r="E6" s="595" t="s">
        <v>640</v>
      </c>
      <c r="F6" s="596"/>
      <c r="G6" s="547"/>
      <c r="H6" s="547"/>
      <c r="I6" s="547"/>
      <c r="J6" s="596"/>
      <c r="K6" s="577"/>
      <c r="L6" s="594"/>
      <c r="M6" s="597"/>
      <c r="N6" s="597"/>
      <c r="O6" s="598" t="s">
        <v>641</v>
      </c>
      <c r="P6" s="597"/>
      <c r="Q6" s="599" t="s">
        <v>642</v>
      </c>
      <c r="R6" s="600"/>
      <c r="S6" s="601"/>
      <c r="T6" s="602"/>
      <c r="U6" s="603" t="s">
        <v>643</v>
      </c>
      <c r="V6" s="601"/>
      <c r="W6" s="601"/>
      <c r="X6" s="577"/>
      <c r="Y6" s="577"/>
      <c r="Z6" s="577"/>
    </row>
    <row r="7" spans="1:26" s="604" customFormat="1" ht="12.75">
      <c r="A7" s="594"/>
      <c r="B7" s="594"/>
      <c r="C7" s="594"/>
      <c r="D7" s="594"/>
      <c r="E7" s="595" t="s">
        <v>644</v>
      </c>
      <c r="F7" s="596"/>
      <c r="G7" s="605" t="s">
        <v>645</v>
      </c>
      <c r="H7" s="605"/>
      <c r="I7" s="605"/>
      <c r="J7" s="596"/>
      <c r="K7" s="577"/>
      <c r="L7" s="594"/>
      <c r="M7" s="598" t="s">
        <v>646</v>
      </c>
      <c r="N7" s="598"/>
      <c r="O7" s="598" t="s">
        <v>646</v>
      </c>
      <c r="P7" s="598"/>
      <c r="Q7" s="606" t="s">
        <v>647</v>
      </c>
      <c r="R7" s="607"/>
      <c r="S7" s="608"/>
      <c r="T7" s="602"/>
      <c r="U7" s="603" t="s">
        <v>648</v>
      </c>
      <c r="V7" s="608"/>
      <c r="W7" s="608"/>
      <c r="X7" s="577"/>
      <c r="Y7" s="577"/>
      <c r="Z7" s="577"/>
    </row>
    <row r="8" spans="1:26" s="604" customFormat="1" ht="14.25" customHeight="1">
      <c r="A8" s="609"/>
      <c r="B8" s="610" t="s">
        <v>649</v>
      </c>
      <c r="C8" s="610"/>
      <c r="E8" s="611" t="s">
        <v>650</v>
      </c>
      <c r="F8" s="612"/>
      <c r="G8" s="605" t="s">
        <v>651</v>
      </c>
      <c r="H8" s="613"/>
      <c r="I8" s="613"/>
      <c r="J8" s="612"/>
      <c r="K8" s="719" t="s">
        <v>652</v>
      </c>
      <c r="L8" s="594"/>
      <c r="M8" s="598" t="s">
        <v>653</v>
      </c>
      <c r="N8" s="598"/>
      <c r="O8" s="598" t="s">
        <v>654</v>
      </c>
      <c r="P8" s="598"/>
      <c r="Q8" s="614" t="s">
        <v>655</v>
      </c>
      <c r="R8" s="598"/>
      <c r="S8" s="615" t="s">
        <v>656</v>
      </c>
      <c r="T8" s="602"/>
      <c r="U8" s="616" t="s">
        <v>657</v>
      </c>
      <c r="V8" s="615" t="s">
        <v>782</v>
      </c>
      <c r="W8" s="615" t="s">
        <v>783</v>
      </c>
      <c r="X8" s="577"/>
      <c r="Y8" s="577"/>
      <c r="Z8" s="577"/>
    </row>
    <row r="9" spans="1:26" s="604" customFormat="1" ht="13.15" customHeight="1">
      <c r="A9" s="609"/>
      <c r="B9" s="617" t="s">
        <v>173</v>
      </c>
      <c r="C9" s="617"/>
      <c r="E9" s="618">
        <v>-2</v>
      </c>
      <c r="F9" s="577"/>
      <c r="G9" s="619">
        <v>-3</v>
      </c>
      <c r="H9" s="620"/>
      <c r="I9" s="620"/>
      <c r="J9" s="612"/>
      <c r="K9" s="720">
        <v>-4</v>
      </c>
      <c r="L9" s="594"/>
      <c r="M9" s="618">
        <v>-5</v>
      </c>
      <c r="N9" s="618"/>
      <c r="O9" s="618">
        <v>-6</v>
      </c>
      <c r="P9" s="618"/>
      <c r="Q9" s="618">
        <v>-7</v>
      </c>
      <c r="R9" s="618"/>
      <c r="S9" s="618">
        <v>-8</v>
      </c>
      <c r="T9" s="618"/>
      <c r="U9" s="618">
        <v>-9</v>
      </c>
      <c r="V9" s="618"/>
      <c r="W9" s="618"/>
      <c r="X9" s="577"/>
      <c r="Y9" s="577"/>
      <c r="Z9" s="577"/>
    </row>
    <row r="10" spans="1:26" ht="12.75" customHeight="1">
      <c r="A10" s="621"/>
      <c r="B10" s="621"/>
      <c r="E10" s="622"/>
      <c r="T10" s="626"/>
    </row>
    <row r="11" spans="1:26" ht="13.15" customHeight="1">
      <c r="A11" s="628" t="s">
        <v>658</v>
      </c>
      <c r="B11" s="621"/>
      <c r="E11" s="622"/>
      <c r="K11" s="547"/>
      <c r="L11" s="623"/>
      <c r="M11" s="630"/>
      <c r="T11" s="626"/>
    </row>
    <row r="12" spans="1:26" ht="18">
      <c r="A12" s="628"/>
      <c r="B12" s="621"/>
      <c r="E12" s="622"/>
      <c r="K12" s="547"/>
      <c r="M12" s="21"/>
      <c r="Q12" s="631"/>
      <c r="T12" s="626"/>
      <c r="X12" s="575" t="s">
        <v>794</v>
      </c>
    </row>
    <row r="13" spans="1:26">
      <c r="A13" s="628"/>
      <c r="B13" s="594" t="s">
        <v>659</v>
      </c>
      <c r="E13" s="622"/>
      <c r="K13" s="547"/>
      <c r="M13" s="21"/>
      <c r="Q13" s="631"/>
      <c r="T13" s="626"/>
      <c r="X13" s="851" t="s">
        <v>793</v>
      </c>
      <c r="Y13" s="851" t="s">
        <v>793</v>
      </c>
    </row>
    <row r="14" spans="1:26">
      <c r="A14" s="628"/>
      <c r="B14" s="632">
        <v>305</v>
      </c>
      <c r="C14" s="633" t="s">
        <v>660</v>
      </c>
      <c r="E14" s="622"/>
      <c r="K14" s="721">
        <v>0</v>
      </c>
      <c r="L14" s="623"/>
      <c r="M14" s="634">
        <v>-240717</v>
      </c>
      <c r="N14" s="623"/>
      <c r="O14" s="721">
        <v>240717</v>
      </c>
      <c r="P14" s="623"/>
      <c r="Q14" s="634">
        <v>0</v>
      </c>
      <c r="R14" s="623"/>
      <c r="S14" s="634">
        <v>0</v>
      </c>
      <c r="T14" s="626"/>
      <c r="U14" s="636">
        <f>IF(S14=0,0,ROUND(O14/S14,1))</f>
        <v>0</v>
      </c>
      <c r="V14" s="634">
        <v>290975</v>
      </c>
      <c r="W14" s="634">
        <f>+S14+V14</f>
        <v>290975</v>
      </c>
      <c r="X14" s="902">
        <v>0</v>
      </c>
      <c r="Y14" s="902">
        <f t="shared" ref="Y14:Y23" si="0">X14*1000</f>
        <v>0</v>
      </c>
    </row>
    <row r="15" spans="1:26">
      <c r="A15" s="628"/>
      <c r="B15" s="637">
        <v>325.2</v>
      </c>
      <c r="C15" s="638" t="s">
        <v>661</v>
      </c>
      <c r="E15" s="639" t="s">
        <v>662</v>
      </c>
      <c r="F15" s="640"/>
      <c r="G15" s="641">
        <v>55</v>
      </c>
      <c r="H15" s="642" t="s">
        <v>663</v>
      </c>
      <c r="I15" s="588" t="s">
        <v>664</v>
      </c>
      <c r="K15" s="721">
        <v>163100</v>
      </c>
      <c r="L15" s="623"/>
      <c r="M15" s="634">
        <v>162036</v>
      </c>
      <c r="N15" s="623"/>
      <c r="O15" s="721">
        <v>1064</v>
      </c>
      <c r="P15" s="623"/>
      <c r="Q15" s="634">
        <v>0.02</v>
      </c>
      <c r="R15" s="623"/>
      <c r="S15" s="634">
        <v>36</v>
      </c>
      <c r="T15" s="626"/>
      <c r="U15" s="636">
        <f>IF(S15=0,0,ROUND(O15/S15,1))</f>
        <v>29.6</v>
      </c>
      <c r="V15" s="634">
        <v>0</v>
      </c>
      <c r="W15" s="634">
        <f t="shared" ref="W15:W24" si="1">+S15+V15</f>
        <v>36</v>
      </c>
      <c r="X15" s="902">
        <v>0</v>
      </c>
      <c r="Y15" s="902">
        <f t="shared" si="0"/>
        <v>0</v>
      </c>
    </row>
    <row r="16" spans="1:26">
      <c r="A16" s="628"/>
      <c r="B16" s="637">
        <v>325.39999999999998</v>
      </c>
      <c r="C16" s="638" t="s">
        <v>665</v>
      </c>
      <c r="E16" s="639" t="s">
        <v>662</v>
      </c>
      <c r="F16" s="640"/>
      <c r="G16" s="641">
        <v>60</v>
      </c>
      <c r="H16" s="642" t="s">
        <v>663</v>
      </c>
      <c r="I16" s="588" t="s">
        <v>666</v>
      </c>
      <c r="K16" s="721">
        <v>30277</v>
      </c>
      <c r="L16" s="623"/>
      <c r="M16" s="634">
        <v>29659</v>
      </c>
      <c r="N16" s="623"/>
      <c r="O16" s="721">
        <v>618</v>
      </c>
      <c r="P16" s="623"/>
      <c r="Q16" s="634">
        <v>7.0000000000000007E-2</v>
      </c>
      <c r="R16" s="623"/>
      <c r="S16" s="634">
        <v>21</v>
      </c>
      <c r="T16" s="626"/>
      <c r="U16" s="636">
        <f t="shared" ref="U16:U24" si="2">IF(S16=0,0,ROUND(O16/S16,1))</f>
        <v>29.4</v>
      </c>
      <c r="V16" s="634">
        <v>0</v>
      </c>
      <c r="W16" s="634">
        <f t="shared" si="1"/>
        <v>21</v>
      </c>
      <c r="X16" s="902">
        <v>0</v>
      </c>
      <c r="Y16" s="902">
        <f t="shared" si="0"/>
        <v>0</v>
      </c>
    </row>
    <row r="17" spans="1:25">
      <c r="A17" s="628"/>
      <c r="B17" s="637">
        <v>328</v>
      </c>
      <c r="C17" s="638" t="s">
        <v>667</v>
      </c>
      <c r="E17" s="639" t="s">
        <v>662</v>
      </c>
      <c r="F17" s="640"/>
      <c r="G17" s="2" t="s">
        <v>668</v>
      </c>
      <c r="H17" s="2"/>
      <c r="I17" s="2"/>
      <c r="K17" s="721">
        <v>1263</v>
      </c>
      <c r="L17" s="623"/>
      <c r="M17" s="634">
        <v>1263</v>
      </c>
      <c r="N17" s="623"/>
      <c r="O17" s="721">
        <v>0</v>
      </c>
      <c r="P17" s="623"/>
      <c r="Q17" s="634">
        <v>0</v>
      </c>
      <c r="R17" s="623"/>
      <c r="S17" s="634">
        <v>0</v>
      </c>
      <c r="T17" s="626"/>
      <c r="U17" s="636">
        <f t="shared" si="2"/>
        <v>0</v>
      </c>
      <c r="V17" s="634">
        <v>0</v>
      </c>
      <c r="W17" s="634">
        <f t="shared" si="1"/>
        <v>0</v>
      </c>
      <c r="X17" s="902">
        <v>0</v>
      </c>
      <c r="Y17" s="902">
        <f t="shared" si="0"/>
        <v>0</v>
      </c>
    </row>
    <row r="18" spans="1:25">
      <c r="A18" s="628"/>
      <c r="B18" s="637">
        <v>329</v>
      </c>
      <c r="C18" s="638" t="s">
        <v>669</v>
      </c>
      <c r="E18" s="639" t="s">
        <v>662</v>
      </c>
      <c r="F18" s="640"/>
      <c r="G18" s="2" t="s">
        <v>668</v>
      </c>
      <c r="H18" s="2"/>
      <c r="I18" s="2"/>
      <c r="K18" s="721">
        <v>44785</v>
      </c>
      <c r="L18" s="623"/>
      <c r="M18" s="634">
        <v>44783</v>
      </c>
      <c r="N18" s="623"/>
      <c r="O18" s="721">
        <v>2</v>
      </c>
      <c r="P18" s="623"/>
      <c r="Q18" s="634">
        <v>0</v>
      </c>
      <c r="R18" s="623"/>
      <c r="S18" s="634">
        <v>0</v>
      </c>
      <c r="T18" s="626"/>
      <c r="U18" s="636">
        <f t="shared" si="2"/>
        <v>0</v>
      </c>
      <c r="V18" s="634">
        <v>0</v>
      </c>
      <c r="W18" s="634">
        <f t="shared" si="1"/>
        <v>0</v>
      </c>
      <c r="X18" s="902">
        <v>0</v>
      </c>
      <c r="Y18" s="902">
        <f t="shared" si="0"/>
        <v>0</v>
      </c>
    </row>
    <row r="19" spans="1:25" ht="12.75" customHeight="1">
      <c r="A19" s="628"/>
      <c r="B19" s="637">
        <v>330</v>
      </c>
      <c r="C19" s="638" t="s">
        <v>670</v>
      </c>
      <c r="E19" s="639" t="s">
        <v>662</v>
      </c>
      <c r="F19" s="640"/>
      <c r="G19" s="2" t="s">
        <v>671</v>
      </c>
      <c r="H19" s="2"/>
      <c r="I19" s="2"/>
      <c r="K19" s="721">
        <v>18209</v>
      </c>
      <c r="L19" s="623"/>
      <c r="M19" s="634">
        <v>-1602</v>
      </c>
      <c r="N19" s="623"/>
      <c r="O19" s="721">
        <v>19811</v>
      </c>
      <c r="P19" s="623"/>
      <c r="Q19" s="634">
        <v>0</v>
      </c>
      <c r="R19" s="623"/>
      <c r="S19" s="634">
        <v>0</v>
      </c>
      <c r="T19" s="626"/>
      <c r="U19" s="636">
        <f t="shared" si="2"/>
        <v>0</v>
      </c>
      <c r="V19" s="634">
        <v>50841</v>
      </c>
      <c r="W19" s="634">
        <f t="shared" si="1"/>
        <v>50841</v>
      </c>
      <c r="X19" s="902">
        <v>0</v>
      </c>
      <c r="Y19" s="902">
        <f t="shared" si="0"/>
        <v>0</v>
      </c>
    </row>
    <row r="20" spans="1:25" ht="12.75" customHeight="1">
      <c r="A20" s="628"/>
      <c r="B20" s="637">
        <v>331</v>
      </c>
      <c r="C20" s="638" t="s">
        <v>672</v>
      </c>
      <c r="E20" s="639" t="s">
        <v>662</v>
      </c>
      <c r="F20" s="640"/>
      <c r="G20" s="2" t="s">
        <v>671</v>
      </c>
      <c r="H20" s="2"/>
      <c r="I20" s="2"/>
      <c r="K20" s="721">
        <v>24441</v>
      </c>
      <c r="L20" s="623"/>
      <c r="M20" s="634">
        <v>74381</v>
      </c>
      <c r="N20" s="623"/>
      <c r="O20" s="721">
        <v>-49940</v>
      </c>
      <c r="P20" s="623"/>
      <c r="Q20" s="634">
        <v>0</v>
      </c>
      <c r="R20" s="623"/>
      <c r="S20" s="634">
        <v>0</v>
      </c>
      <c r="T20" s="626"/>
      <c r="U20" s="636">
        <f t="shared" si="2"/>
        <v>0</v>
      </c>
      <c r="V20" s="634">
        <v>0</v>
      </c>
      <c r="W20" s="634">
        <f t="shared" si="1"/>
        <v>0</v>
      </c>
      <c r="X20" s="902">
        <v>0</v>
      </c>
      <c r="Y20" s="902">
        <f t="shared" si="0"/>
        <v>0</v>
      </c>
    </row>
    <row r="21" spans="1:25" ht="12.75" customHeight="1">
      <c r="A21" s="628"/>
      <c r="B21" s="637">
        <v>332</v>
      </c>
      <c r="C21" s="638" t="s">
        <v>673</v>
      </c>
      <c r="E21" s="639" t="s">
        <v>662</v>
      </c>
      <c r="F21" s="640"/>
      <c r="G21" s="641">
        <v>47</v>
      </c>
      <c r="H21" s="642" t="s">
        <v>663</v>
      </c>
      <c r="I21" s="588" t="s">
        <v>674</v>
      </c>
      <c r="K21" s="721">
        <v>750689</v>
      </c>
      <c r="L21" s="623"/>
      <c r="M21" s="634">
        <v>723752</v>
      </c>
      <c r="N21" s="623"/>
      <c r="O21" s="721">
        <v>26937</v>
      </c>
      <c r="P21" s="623"/>
      <c r="Q21" s="634">
        <v>0.14000000000000001</v>
      </c>
      <c r="R21" s="623"/>
      <c r="S21" s="634">
        <v>1039</v>
      </c>
      <c r="T21" s="626"/>
      <c r="U21" s="636">
        <f t="shared" si="2"/>
        <v>25.9</v>
      </c>
      <c r="V21" s="634">
        <v>0</v>
      </c>
      <c r="W21" s="634">
        <f t="shared" si="1"/>
        <v>1039</v>
      </c>
      <c r="X21" s="902">
        <v>1</v>
      </c>
      <c r="Y21" s="902">
        <f t="shared" si="0"/>
        <v>1000</v>
      </c>
    </row>
    <row r="22" spans="1:25" ht="12.75" customHeight="1">
      <c r="A22" s="628"/>
      <c r="B22" s="637">
        <v>334</v>
      </c>
      <c r="C22" s="638" t="s">
        <v>675</v>
      </c>
      <c r="E22" s="639" t="s">
        <v>662</v>
      </c>
      <c r="F22" s="640"/>
      <c r="G22" s="641">
        <v>24</v>
      </c>
      <c r="H22" s="642" t="s">
        <v>663</v>
      </c>
      <c r="I22" s="588" t="s">
        <v>676</v>
      </c>
      <c r="K22" s="721">
        <v>89725</v>
      </c>
      <c r="L22" s="623"/>
      <c r="M22" s="634">
        <v>78122</v>
      </c>
      <c r="N22" s="623"/>
      <c r="O22" s="721">
        <v>11603</v>
      </c>
      <c r="P22" s="623"/>
      <c r="Q22" s="634">
        <v>0.82</v>
      </c>
      <c r="R22" s="623"/>
      <c r="S22" s="634">
        <v>736</v>
      </c>
      <c r="T22" s="626"/>
      <c r="U22" s="636">
        <f t="shared" si="2"/>
        <v>15.8</v>
      </c>
      <c r="V22" s="634">
        <v>204</v>
      </c>
      <c r="W22" s="634">
        <f t="shared" si="1"/>
        <v>940</v>
      </c>
      <c r="X22" s="902">
        <v>1</v>
      </c>
      <c r="Y22" s="902">
        <f t="shared" si="0"/>
        <v>1000</v>
      </c>
    </row>
    <row r="23" spans="1:25" ht="12.75" customHeight="1">
      <c r="A23" s="628"/>
      <c r="B23" s="637">
        <v>335</v>
      </c>
      <c r="C23" s="638" t="s">
        <v>677</v>
      </c>
      <c r="E23" s="639" t="s">
        <v>662</v>
      </c>
      <c r="F23" s="640"/>
      <c r="G23" s="641">
        <v>30</v>
      </c>
      <c r="H23" s="642" t="s">
        <v>663</v>
      </c>
      <c r="I23" s="588" t="s">
        <v>664</v>
      </c>
      <c r="K23" s="721">
        <v>49604</v>
      </c>
      <c r="L23" s="623"/>
      <c r="M23" s="634">
        <v>49446</v>
      </c>
      <c r="N23" s="623"/>
      <c r="O23" s="721">
        <v>158</v>
      </c>
      <c r="P23" s="623"/>
      <c r="Q23" s="634">
        <v>0.04</v>
      </c>
      <c r="R23" s="623"/>
      <c r="S23" s="634">
        <v>21</v>
      </c>
      <c r="T23" s="626"/>
      <c r="U23" s="636">
        <f t="shared" si="2"/>
        <v>7.5</v>
      </c>
      <c r="V23" s="634">
        <v>0</v>
      </c>
      <c r="W23" s="634">
        <f t="shared" si="1"/>
        <v>21</v>
      </c>
      <c r="X23" s="902">
        <v>0</v>
      </c>
      <c r="Y23" s="902">
        <f t="shared" si="0"/>
        <v>0</v>
      </c>
    </row>
    <row r="24" spans="1:25" ht="12.75" customHeight="1">
      <c r="A24" s="628"/>
      <c r="B24" s="637">
        <v>337</v>
      </c>
      <c r="C24" s="638" t="s">
        <v>678</v>
      </c>
      <c r="E24" s="639" t="s">
        <v>662</v>
      </c>
      <c r="F24" s="640"/>
      <c r="G24" s="2" t="s">
        <v>668</v>
      </c>
      <c r="H24" s="2"/>
      <c r="I24" s="2"/>
      <c r="K24" s="721">
        <v>11062</v>
      </c>
      <c r="L24" s="623"/>
      <c r="M24" s="634">
        <v>11062</v>
      </c>
      <c r="N24" s="623"/>
      <c r="O24" s="721">
        <v>0</v>
      </c>
      <c r="P24" s="623"/>
      <c r="Q24" s="634">
        <v>0</v>
      </c>
      <c r="R24" s="623"/>
      <c r="S24" s="634">
        <v>0</v>
      </c>
      <c r="T24" s="626"/>
      <c r="U24" s="636">
        <f t="shared" si="2"/>
        <v>0</v>
      </c>
      <c r="V24" s="634">
        <v>0</v>
      </c>
      <c r="W24" s="634">
        <f t="shared" si="1"/>
        <v>0</v>
      </c>
      <c r="X24" s="903">
        <v>0</v>
      </c>
      <c r="Y24" s="903">
        <f>X24*1000</f>
        <v>0</v>
      </c>
    </row>
    <row r="25" spans="1:25" ht="12.75" customHeight="1">
      <c r="A25" s="628"/>
      <c r="B25" s="577" t="s">
        <v>679</v>
      </c>
      <c r="E25" s="622"/>
      <c r="K25" s="722">
        <f>SUBTOTAL(9,K14:K24)</f>
        <v>1183155</v>
      </c>
      <c r="M25" s="643">
        <f>SUBTOTAL(9,M14:M24)</f>
        <v>932185</v>
      </c>
      <c r="O25" s="722">
        <f>SUBTOTAL(9,O14:O24)</f>
        <v>250970</v>
      </c>
      <c r="Q25" s="644">
        <f t="shared" ref="Q25" si="3">IF(K25=0,0,ROUND(S25/K25*100,2))</f>
        <v>0.16</v>
      </c>
      <c r="S25" s="643">
        <f>SUBTOTAL(9,S14:S24)</f>
        <v>1853</v>
      </c>
      <c r="T25" s="643"/>
      <c r="U25" s="882">
        <f t="shared" ref="U25:W25" si="4">SUBTOTAL(9,U14:U24)</f>
        <v>108.2</v>
      </c>
      <c r="V25" s="643">
        <f t="shared" si="4"/>
        <v>342020</v>
      </c>
      <c r="W25" s="643">
        <f t="shared" si="4"/>
        <v>343873</v>
      </c>
      <c r="X25" s="902">
        <f>SUBTOTAL(9,X14:X24)</f>
        <v>2</v>
      </c>
      <c r="Y25" s="902">
        <f>SUBTOTAL(9,Y14:Y24)</f>
        <v>2000</v>
      </c>
    </row>
    <row r="26" spans="1:25" ht="12.75" customHeight="1">
      <c r="A26" s="628"/>
      <c r="B26" s="621"/>
      <c r="E26" s="622"/>
      <c r="K26" s="547"/>
      <c r="M26" s="629"/>
      <c r="O26" s="75"/>
      <c r="Q26" s="631"/>
      <c r="S26" s="629"/>
      <c r="T26" s="626"/>
      <c r="V26" s="629"/>
      <c r="W26" s="629"/>
      <c r="X26" s="902"/>
      <c r="Y26" s="902"/>
    </row>
    <row r="27" spans="1:25" ht="12.75" customHeight="1">
      <c r="A27" s="628"/>
      <c r="B27" s="594" t="s">
        <v>680</v>
      </c>
      <c r="E27" s="622"/>
      <c r="K27" s="547"/>
      <c r="M27" s="629"/>
      <c r="O27" s="75"/>
      <c r="Q27" s="631"/>
      <c r="S27" s="629"/>
      <c r="T27" s="626"/>
      <c r="V27" s="629"/>
      <c r="W27" s="629"/>
      <c r="X27" s="902"/>
      <c r="Y27" s="902"/>
    </row>
    <row r="28" spans="1:25" ht="12.75" customHeight="1">
      <c r="A28" s="628"/>
      <c r="B28" s="38">
        <v>352.01</v>
      </c>
      <c r="C28" s="4" t="s">
        <v>681</v>
      </c>
      <c r="E28" s="639"/>
      <c r="F28" s="640"/>
      <c r="G28" s="2" t="s">
        <v>671</v>
      </c>
      <c r="H28" s="2"/>
      <c r="I28" s="2"/>
      <c r="K28" s="721">
        <v>0</v>
      </c>
      <c r="M28" s="634">
        <v>-262934</v>
      </c>
      <c r="N28" s="21"/>
      <c r="O28" s="187">
        <v>262934</v>
      </c>
      <c r="Q28" s="646">
        <f t="shared" ref="Q28:Q29" si="5">IF(K28=0,0,ROUND(S28/K28*100,2))</f>
        <v>0</v>
      </c>
      <c r="S28" s="634">
        <v>0</v>
      </c>
      <c r="T28" s="626"/>
      <c r="U28" s="636">
        <f t="shared" ref="U28:U29" si="6">IF(S28=0,0,ROUND(O28/S28,1))</f>
        <v>0</v>
      </c>
      <c r="V28" s="634">
        <v>15970</v>
      </c>
      <c r="W28" s="634">
        <f t="shared" ref="W28" si="7">+S28+V28</f>
        <v>15970</v>
      </c>
      <c r="X28" s="902">
        <v>0</v>
      </c>
      <c r="Y28" s="902">
        <f>X28*1000</f>
        <v>0</v>
      </c>
    </row>
    <row r="29" spans="1:25" ht="12.75" customHeight="1">
      <c r="A29" s="628"/>
      <c r="B29" s="577" t="s">
        <v>682</v>
      </c>
      <c r="E29" s="622"/>
      <c r="K29" s="722">
        <f>SUBTOTAL(9,K28)</f>
        <v>0</v>
      </c>
      <c r="M29" s="643">
        <f>SUBTOTAL(9,M28)</f>
        <v>-262934</v>
      </c>
      <c r="O29" s="643">
        <f>SUBTOTAL(9,O28)</f>
        <v>262934</v>
      </c>
      <c r="Q29" s="631">
        <f t="shared" si="5"/>
        <v>0</v>
      </c>
      <c r="S29" s="643">
        <f>SUBTOTAL(9,S28)</f>
        <v>0</v>
      </c>
      <c r="T29" s="626"/>
      <c r="U29" s="645">
        <f t="shared" si="6"/>
        <v>0</v>
      </c>
      <c r="V29" s="643">
        <f>SUBTOTAL(9,V28)</f>
        <v>15970</v>
      </c>
      <c r="W29" s="643">
        <f>SUBTOTAL(9,W28)</f>
        <v>15970</v>
      </c>
      <c r="X29" s="904">
        <f>SUBTOTAL(9,X28)</f>
        <v>0</v>
      </c>
      <c r="Y29" s="904">
        <f>SUBTOTAL(9,Y28)</f>
        <v>0</v>
      </c>
    </row>
    <row r="30" spans="1:25" ht="12.75" customHeight="1">
      <c r="A30" s="628"/>
      <c r="B30" s="621"/>
      <c r="E30" s="622"/>
      <c r="K30" s="547"/>
      <c r="M30" s="629"/>
      <c r="Q30" s="631"/>
      <c r="S30" s="629"/>
      <c r="T30" s="626"/>
      <c r="V30" s="629"/>
      <c r="W30" s="629"/>
      <c r="X30" s="902"/>
      <c r="Y30" s="902"/>
    </row>
    <row r="31" spans="1:25" ht="12.75" customHeight="1">
      <c r="A31" s="628"/>
      <c r="B31" s="577" t="s">
        <v>683</v>
      </c>
      <c r="C31" s="4"/>
      <c r="E31" s="622"/>
      <c r="K31" s="547"/>
      <c r="M31" s="629"/>
      <c r="Q31" s="631"/>
      <c r="S31" s="629"/>
      <c r="T31" s="626"/>
      <c r="V31" s="629"/>
      <c r="W31" s="629"/>
      <c r="X31" s="902"/>
      <c r="Y31" s="902"/>
    </row>
    <row r="32" spans="1:25" ht="12.75" customHeight="1">
      <c r="A32" s="628"/>
      <c r="B32" s="38">
        <v>365.2</v>
      </c>
      <c r="C32" s="4" t="s">
        <v>665</v>
      </c>
      <c r="E32" s="639" t="s">
        <v>662</v>
      </c>
      <c r="F32" s="640"/>
      <c r="G32" s="641">
        <v>70</v>
      </c>
      <c r="H32" s="642" t="s">
        <v>663</v>
      </c>
      <c r="I32" s="588" t="s">
        <v>684</v>
      </c>
      <c r="K32" s="721">
        <v>868160</v>
      </c>
      <c r="L32" s="623"/>
      <c r="M32" s="634">
        <v>512783</v>
      </c>
      <c r="N32" s="623"/>
      <c r="O32" s="721">
        <v>355377</v>
      </c>
      <c r="P32" s="623"/>
      <c r="Q32" s="634">
        <v>1.42</v>
      </c>
      <c r="R32" s="623"/>
      <c r="S32" s="634">
        <v>12347</v>
      </c>
      <c r="T32" s="626"/>
      <c r="U32" s="636">
        <f t="shared" ref="U32:U38" si="8">IF(S32=0,0,ROUND(O32/S32,1))</f>
        <v>28.8</v>
      </c>
      <c r="V32" s="634">
        <v>0</v>
      </c>
      <c r="W32" s="634">
        <f t="shared" ref="W32:W38" si="9">+S32+V32</f>
        <v>12347</v>
      </c>
      <c r="X32" s="902">
        <v>12</v>
      </c>
      <c r="Y32" s="902">
        <f>X32*1000</f>
        <v>12000</v>
      </c>
    </row>
    <row r="33" spans="1:28" ht="12.75" customHeight="1">
      <c r="A33" s="628"/>
      <c r="B33" s="38">
        <v>366</v>
      </c>
      <c r="C33" s="4" t="s">
        <v>488</v>
      </c>
      <c r="E33" s="639" t="s">
        <v>662</v>
      </c>
      <c r="F33" s="640"/>
      <c r="G33" s="641">
        <v>30</v>
      </c>
      <c r="H33" s="642" t="s">
        <v>663</v>
      </c>
      <c r="I33" s="588" t="s">
        <v>666</v>
      </c>
      <c r="K33" s="721">
        <v>150662</v>
      </c>
      <c r="L33" s="623"/>
      <c r="M33" s="634">
        <v>139193</v>
      </c>
      <c r="N33" s="623"/>
      <c r="O33" s="721">
        <v>11469</v>
      </c>
      <c r="P33" s="623"/>
      <c r="Q33" s="634">
        <v>0.82</v>
      </c>
      <c r="R33" s="623"/>
      <c r="S33" s="634">
        <v>1237</v>
      </c>
      <c r="T33" s="626"/>
      <c r="U33" s="636">
        <f t="shared" si="8"/>
        <v>9.3000000000000007</v>
      </c>
      <c r="V33" s="634">
        <v>0</v>
      </c>
      <c r="W33" s="634">
        <f t="shared" si="9"/>
        <v>1237</v>
      </c>
      <c r="X33" s="902">
        <v>1</v>
      </c>
      <c r="Y33" s="902">
        <f t="shared" ref="Y33:Y38" si="10">X33*1000</f>
        <v>1000</v>
      </c>
    </row>
    <row r="34" spans="1:28" ht="12.75" customHeight="1">
      <c r="A34" s="628"/>
      <c r="B34" s="647">
        <v>367</v>
      </c>
      <c r="C34" s="547" t="s">
        <v>336</v>
      </c>
      <c r="E34" s="639" t="s">
        <v>662</v>
      </c>
      <c r="F34" s="640"/>
      <c r="G34" s="641">
        <v>70</v>
      </c>
      <c r="H34" s="642" t="s">
        <v>663</v>
      </c>
      <c r="I34" s="588" t="s">
        <v>685</v>
      </c>
      <c r="K34" s="721">
        <v>38518031</v>
      </c>
      <c r="L34" s="623"/>
      <c r="M34" s="634">
        <v>20966187</v>
      </c>
      <c r="N34" s="623"/>
      <c r="O34" s="721">
        <v>17551844</v>
      </c>
      <c r="P34" s="623"/>
      <c r="Q34" s="634">
        <v>1.2</v>
      </c>
      <c r="R34" s="623"/>
      <c r="S34" s="634">
        <v>462699</v>
      </c>
      <c r="T34" s="626"/>
      <c r="U34" s="636">
        <f t="shared" si="8"/>
        <v>37.9</v>
      </c>
      <c r="V34" s="634">
        <v>0</v>
      </c>
      <c r="W34" s="634">
        <f t="shared" si="9"/>
        <v>462699</v>
      </c>
      <c r="X34" s="902">
        <v>462</v>
      </c>
      <c r="Y34" s="902">
        <f t="shared" si="10"/>
        <v>462000</v>
      </c>
    </row>
    <row r="35" spans="1:28" ht="12.75" customHeight="1">
      <c r="A35" s="628"/>
      <c r="B35" s="38">
        <v>369</v>
      </c>
      <c r="C35" s="4" t="s">
        <v>686</v>
      </c>
      <c r="E35" s="639" t="s">
        <v>662</v>
      </c>
      <c r="F35" s="640"/>
      <c r="G35" s="641">
        <v>49</v>
      </c>
      <c r="H35" s="642" t="s">
        <v>663</v>
      </c>
      <c r="I35" s="588" t="s">
        <v>687</v>
      </c>
      <c r="K35" s="721">
        <v>6148406</v>
      </c>
      <c r="L35" s="623"/>
      <c r="M35" s="634">
        <v>3771845</v>
      </c>
      <c r="N35" s="623"/>
      <c r="O35" s="721">
        <v>2376561</v>
      </c>
      <c r="P35" s="623"/>
      <c r="Q35" s="634">
        <v>1.59</v>
      </c>
      <c r="R35" s="623"/>
      <c r="S35" s="634">
        <v>97798</v>
      </c>
      <c r="T35" s="626"/>
      <c r="U35" s="636">
        <f t="shared" si="8"/>
        <v>24.3</v>
      </c>
      <c r="V35" s="634">
        <v>626</v>
      </c>
      <c r="W35" s="634">
        <f t="shared" si="9"/>
        <v>98424</v>
      </c>
      <c r="X35" s="902">
        <v>98</v>
      </c>
      <c r="Y35" s="902">
        <f t="shared" si="10"/>
        <v>98000</v>
      </c>
    </row>
    <row r="36" spans="1:28" ht="12.75" customHeight="1">
      <c r="A36" s="628"/>
      <c r="B36" s="38">
        <v>370</v>
      </c>
      <c r="C36" s="4" t="s">
        <v>499</v>
      </c>
      <c r="E36" s="639" t="s">
        <v>662</v>
      </c>
      <c r="F36" s="640"/>
      <c r="G36" s="641">
        <v>23</v>
      </c>
      <c r="H36" s="642" t="s">
        <v>663</v>
      </c>
      <c r="I36" s="588" t="s">
        <v>688</v>
      </c>
      <c r="K36" s="721">
        <v>3486136</v>
      </c>
      <c r="L36" s="623"/>
      <c r="M36" s="634">
        <v>1887960</v>
      </c>
      <c r="N36" s="623"/>
      <c r="O36" s="721">
        <v>1598176</v>
      </c>
      <c r="P36" s="623"/>
      <c r="Q36" s="634">
        <v>3.42</v>
      </c>
      <c r="R36" s="623"/>
      <c r="S36" s="634">
        <v>119305</v>
      </c>
      <c r="T36" s="626"/>
      <c r="U36" s="636">
        <f t="shared" si="8"/>
        <v>13.4</v>
      </c>
      <c r="V36" s="634">
        <v>0</v>
      </c>
      <c r="W36" s="634">
        <f t="shared" si="9"/>
        <v>119305</v>
      </c>
      <c r="X36" s="902">
        <v>120</v>
      </c>
      <c r="Y36" s="902">
        <f t="shared" si="10"/>
        <v>120000</v>
      </c>
    </row>
    <row r="37" spans="1:28" ht="12.75" customHeight="1">
      <c r="A37" s="628"/>
      <c r="B37" s="38">
        <v>371</v>
      </c>
      <c r="C37" s="4" t="s">
        <v>678</v>
      </c>
      <c r="E37" s="639" t="s">
        <v>662</v>
      </c>
      <c r="F37" s="640"/>
      <c r="G37" s="641">
        <v>35</v>
      </c>
      <c r="H37" s="642" t="s">
        <v>663</v>
      </c>
      <c r="I37" s="588" t="s">
        <v>689</v>
      </c>
      <c r="K37" s="721">
        <v>140637</v>
      </c>
      <c r="L37" s="623"/>
      <c r="M37" s="634">
        <v>126950</v>
      </c>
      <c r="N37" s="623"/>
      <c r="O37" s="721">
        <v>13687</v>
      </c>
      <c r="P37" s="623"/>
      <c r="Q37" s="634">
        <v>0.97</v>
      </c>
      <c r="R37" s="623"/>
      <c r="S37" s="634">
        <v>1368</v>
      </c>
      <c r="T37" s="626"/>
      <c r="U37" s="636">
        <f t="shared" si="8"/>
        <v>10</v>
      </c>
      <c r="V37" s="634">
        <v>0</v>
      </c>
      <c r="W37" s="634">
        <f t="shared" si="9"/>
        <v>1368</v>
      </c>
      <c r="X37" s="902">
        <v>7</v>
      </c>
      <c r="Y37" s="902">
        <f t="shared" si="10"/>
        <v>7000</v>
      </c>
    </row>
    <row r="38" spans="1:28" ht="12.75" customHeight="1">
      <c r="A38" s="628"/>
      <c r="B38" s="38">
        <v>371.1</v>
      </c>
      <c r="C38" s="4" t="s">
        <v>690</v>
      </c>
      <c r="E38" s="639" t="s">
        <v>662</v>
      </c>
      <c r="F38" s="640"/>
      <c r="G38" s="641">
        <v>20</v>
      </c>
      <c r="H38" s="642" t="s">
        <v>663</v>
      </c>
      <c r="I38" s="588" t="s">
        <v>685</v>
      </c>
      <c r="K38" s="721">
        <v>210011</v>
      </c>
      <c r="L38" s="623"/>
      <c r="M38" s="634">
        <v>140780</v>
      </c>
      <c r="N38" s="623"/>
      <c r="O38" s="721">
        <v>69231</v>
      </c>
      <c r="P38" s="623"/>
      <c r="Q38" s="634">
        <v>2.65</v>
      </c>
      <c r="R38" s="623"/>
      <c r="S38" s="634">
        <v>5572</v>
      </c>
      <c r="T38" s="626"/>
      <c r="U38" s="636">
        <f t="shared" si="8"/>
        <v>12.4</v>
      </c>
      <c r="V38" s="634">
        <v>0</v>
      </c>
      <c r="W38" s="634">
        <f t="shared" si="9"/>
        <v>5572</v>
      </c>
      <c r="X38" s="902">
        <v>0</v>
      </c>
      <c r="Y38" s="902">
        <f t="shared" si="10"/>
        <v>0</v>
      </c>
    </row>
    <row r="39" spans="1:28" ht="12.75" customHeight="1">
      <c r="A39" s="628"/>
      <c r="B39" s="577" t="s">
        <v>691</v>
      </c>
      <c r="E39" s="622"/>
      <c r="K39" s="722">
        <f>SUBTOTAL(9,K32:K38)</f>
        <v>49522043</v>
      </c>
      <c r="M39" s="643">
        <f>SUBTOTAL(9,M32:M38)</f>
        <v>27545698</v>
      </c>
      <c r="O39" s="643">
        <f>SUBTOTAL(9,O32:O38)</f>
        <v>21976345</v>
      </c>
      <c r="Q39" s="644">
        <f>ROUND(S39/K39*100,2)</f>
        <v>1.41</v>
      </c>
      <c r="S39" s="643">
        <f>SUBTOTAL(9,S32:S38)</f>
        <v>700326</v>
      </c>
      <c r="T39" s="643"/>
      <c r="U39" s="882">
        <f t="shared" ref="U39:W39" si="11">SUBTOTAL(9,U32:U38)</f>
        <v>136.1</v>
      </c>
      <c r="V39" s="643">
        <f t="shared" si="11"/>
        <v>626</v>
      </c>
      <c r="W39" s="643">
        <f t="shared" si="11"/>
        <v>700952</v>
      </c>
      <c r="X39" s="904">
        <f>SUBTOTAL(9,X32:X38)</f>
        <v>700</v>
      </c>
      <c r="Y39" s="904">
        <f>SUBTOTAL(9,Y32:Y38)</f>
        <v>700000</v>
      </c>
    </row>
    <row r="40" spans="1:28" ht="12.75" customHeight="1">
      <c r="A40" s="621"/>
      <c r="B40" s="621"/>
      <c r="E40" s="622"/>
      <c r="K40" s="723"/>
      <c r="M40" s="623"/>
      <c r="Q40" s="631"/>
      <c r="S40" s="623"/>
      <c r="T40" s="626"/>
      <c r="V40" s="623"/>
      <c r="W40" s="623"/>
      <c r="X40" s="902"/>
      <c r="Y40" s="902"/>
    </row>
    <row r="41" spans="1:28" ht="12.75" customHeight="1">
      <c r="B41" s="594" t="s">
        <v>239</v>
      </c>
      <c r="C41" s="638"/>
      <c r="D41" s="638"/>
      <c r="E41" s="622"/>
      <c r="F41" s="648"/>
      <c r="G41" s="641"/>
      <c r="H41" s="641"/>
      <c r="I41" s="588"/>
      <c r="J41" s="629"/>
      <c r="M41" s="575"/>
      <c r="N41" s="21"/>
      <c r="O41" s="21"/>
      <c r="P41" s="21"/>
      <c r="Q41" s="649"/>
      <c r="R41" s="21"/>
      <c r="S41" s="575"/>
      <c r="T41" s="626"/>
      <c r="U41" s="650"/>
      <c r="V41" s="575"/>
      <c r="W41" s="575"/>
      <c r="X41" s="902"/>
      <c r="Y41" s="902"/>
    </row>
    <row r="42" spans="1:28">
      <c r="B42" s="637">
        <v>374.2</v>
      </c>
      <c r="C42" s="4" t="s">
        <v>665</v>
      </c>
      <c r="D42" s="638"/>
      <c r="E42" s="639" t="s">
        <v>662</v>
      </c>
      <c r="F42" s="640"/>
      <c r="G42" s="641">
        <v>75</v>
      </c>
      <c r="H42" s="642" t="s">
        <v>663</v>
      </c>
      <c r="I42" s="588" t="s">
        <v>685</v>
      </c>
      <c r="J42" s="629"/>
      <c r="K42" s="721">
        <v>3236278</v>
      </c>
      <c r="L42" s="623"/>
      <c r="M42" s="634">
        <v>1282105</v>
      </c>
      <c r="N42" s="623"/>
      <c r="O42" s="721">
        <v>1954173</v>
      </c>
      <c r="P42" s="623"/>
      <c r="Q42" s="634">
        <v>1.3</v>
      </c>
      <c r="R42" s="623"/>
      <c r="S42" s="634">
        <v>42062</v>
      </c>
      <c r="T42" s="626"/>
      <c r="U42" s="636">
        <f t="shared" ref="U42:U62" si="12">IF(S42=0,0,ROUND(O42/S42,1))</f>
        <v>46.5</v>
      </c>
      <c r="V42" s="634">
        <v>0</v>
      </c>
      <c r="W42" s="634">
        <f t="shared" ref="W42:W62" si="13">+S42+V42</f>
        <v>42062</v>
      </c>
      <c r="X42" s="902">
        <v>42</v>
      </c>
      <c r="Y42" s="902">
        <f>X42*1000</f>
        <v>42000</v>
      </c>
    </row>
    <row r="43" spans="1:28">
      <c r="A43" s="638"/>
      <c r="B43" s="38">
        <v>375</v>
      </c>
      <c r="C43" s="181" t="s">
        <v>488</v>
      </c>
      <c r="D43" s="638"/>
      <c r="E43" s="639" t="s">
        <v>662</v>
      </c>
      <c r="F43" s="640"/>
      <c r="G43" s="641">
        <v>50</v>
      </c>
      <c r="H43" s="642" t="s">
        <v>663</v>
      </c>
      <c r="I43" s="588" t="s">
        <v>664</v>
      </c>
      <c r="J43" s="629"/>
      <c r="K43" s="721">
        <v>5299278</v>
      </c>
      <c r="L43" s="623"/>
      <c r="M43" s="634">
        <v>3083647</v>
      </c>
      <c r="N43" s="623"/>
      <c r="O43" s="721">
        <v>2215631</v>
      </c>
      <c r="P43" s="623"/>
      <c r="Q43" s="634">
        <v>1.59</v>
      </c>
      <c r="R43" s="623"/>
      <c r="S43" s="634">
        <v>84096</v>
      </c>
      <c r="T43" s="626"/>
      <c r="U43" s="636">
        <f t="shared" si="12"/>
        <v>26.3</v>
      </c>
      <c r="V43" s="634">
        <v>7019</v>
      </c>
      <c r="W43" s="634">
        <f t="shared" si="13"/>
        <v>91115</v>
      </c>
      <c r="X43" s="902">
        <v>84</v>
      </c>
      <c r="Y43" s="902">
        <f t="shared" ref="Y43:Y62" si="14">X43*1000</f>
        <v>84000</v>
      </c>
      <c r="Z43" s="942">
        <f>+S43+S42</f>
        <v>126158</v>
      </c>
    </row>
    <row r="44" spans="1:28">
      <c r="A44" s="638"/>
      <c r="B44" s="38">
        <v>376.1</v>
      </c>
      <c r="C44" s="181" t="s">
        <v>692</v>
      </c>
      <c r="D44" s="638"/>
      <c r="E44" s="639" t="s">
        <v>662</v>
      </c>
      <c r="F44" s="640"/>
      <c r="G44" s="641">
        <v>73</v>
      </c>
      <c r="H44" s="642" t="s">
        <v>663</v>
      </c>
      <c r="I44" s="588" t="s">
        <v>689</v>
      </c>
      <c r="J44" s="629"/>
      <c r="K44" s="721">
        <v>566786278</v>
      </c>
      <c r="L44" s="623"/>
      <c r="M44" s="634">
        <v>171293019</v>
      </c>
      <c r="N44" s="623"/>
      <c r="O44" s="721">
        <v>395493259</v>
      </c>
      <c r="P44" s="623"/>
      <c r="Q44" s="634">
        <v>1.51</v>
      </c>
      <c r="R44" s="623"/>
      <c r="S44" s="634">
        <v>8555399</v>
      </c>
      <c r="T44" s="626"/>
      <c r="U44" s="636">
        <f t="shared" si="12"/>
        <v>46.2</v>
      </c>
      <c r="V44" s="634">
        <v>685886</v>
      </c>
      <c r="W44" s="634">
        <f t="shared" si="13"/>
        <v>9241285</v>
      </c>
      <c r="X44" s="902">
        <v>30522</v>
      </c>
      <c r="Y44" s="902">
        <f t="shared" si="14"/>
        <v>30522000</v>
      </c>
    </row>
    <row r="45" spans="1:28">
      <c r="A45" s="638"/>
      <c r="B45" s="38">
        <v>376.2</v>
      </c>
      <c r="C45" s="181" t="s">
        <v>693</v>
      </c>
      <c r="D45" s="638"/>
      <c r="E45" s="639">
        <v>46660</v>
      </c>
      <c r="F45" s="640"/>
      <c r="G45" s="641">
        <v>65</v>
      </c>
      <c r="H45" s="642" t="s">
        <v>663</v>
      </c>
      <c r="I45" s="588" t="s">
        <v>666</v>
      </c>
      <c r="J45" s="629"/>
      <c r="K45" s="721">
        <v>2087538</v>
      </c>
      <c r="L45" s="623"/>
      <c r="M45" s="634">
        <v>371824</v>
      </c>
      <c r="N45" s="623"/>
      <c r="O45" s="721">
        <v>1715714</v>
      </c>
      <c r="P45" s="623"/>
      <c r="Q45" s="634">
        <v>13.49</v>
      </c>
      <c r="R45" s="623"/>
      <c r="S45" s="634">
        <v>281546</v>
      </c>
      <c r="T45" s="626"/>
      <c r="U45" s="636">
        <f t="shared" si="12"/>
        <v>6.1</v>
      </c>
      <c r="V45" s="634">
        <v>350336</v>
      </c>
      <c r="W45" s="634">
        <f t="shared" si="13"/>
        <v>631882</v>
      </c>
      <c r="X45" s="902"/>
      <c r="Y45" s="902">
        <f t="shared" si="14"/>
        <v>0</v>
      </c>
    </row>
    <row r="46" spans="1:28">
      <c r="A46" s="638"/>
      <c r="B46" s="38">
        <v>376.3</v>
      </c>
      <c r="C46" s="181" t="s">
        <v>489</v>
      </c>
      <c r="D46" s="638"/>
      <c r="E46" s="639" t="s">
        <v>662</v>
      </c>
      <c r="F46" s="640"/>
      <c r="G46" s="641">
        <v>67</v>
      </c>
      <c r="H46" s="642" t="s">
        <v>663</v>
      </c>
      <c r="I46" s="588" t="s">
        <v>685</v>
      </c>
      <c r="J46" s="629"/>
      <c r="K46" s="721">
        <v>1322335147</v>
      </c>
      <c r="L46" s="623"/>
      <c r="M46" s="634">
        <v>256745340</v>
      </c>
      <c r="N46" s="623"/>
      <c r="O46" s="721">
        <v>1065589807</v>
      </c>
      <c r="P46" s="623"/>
      <c r="Q46" s="634">
        <v>1.64</v>
      </c>
      <c r="R46" s="623"/>
      <c r="S46" s="634">
        <v>21679484</v>
      </c>
      <c r="T46" s="626"/>
      <c r="U46" s="636">
        <f t="shared" si="12"/>
        <v>49.2</v>
      </c>
      <c r="V46" s="634">
        <v>290312</v>
      </c>
      <c r="W46" s="634">
        <f t="shared" si="13"/>
        <v>21969796</v>
      </c>
      <c r="X46" s="902"/>
      <c r="Y46" s="902">
        <f t="shared" si="14"/>
        <v>0</v>
      </c>
    </row>
    <row r="47" spans="1:28">
      <c r="A47" s="939">
        <f>SUM(O44:O47)</f>
        <v>1462856230</v>
      </c>
      <c r="B47" s="38">
        <v>376.5</v>
      </c>
      <c r="C47" s="181" t="s">
        <v>694</v>
      </c>
      <c r="D47" s="638"/>
      <c r="E47" s="639">
        <v>51774</v>
      </c>
      <c r="F47" s="640"/>
      <c r="G47" s="641">
        <v>70</v>
      </c>
      <c r="H47" s="642" t="s">
        <v>663</v>
      </c>
      <c r="I47" s="588" t="s">
        <v>666</v>
      </c>
      <c r="J47" s="629"/>
      <c r="K47" s="721">
        <v>278985</v>
      </c>
      <c r="L47" s="623"/>
      <c r="M47" s="634">
        <v>221535</v>
      </c>
      <c r="N47" s="623"/>
      <c r="O47" s="721">
        <v>57450</v>
      </c>
      <c r="P47" s="623"/>
      <c r="Q47" s="634">
        <v>1.98</v>
      </c>
      <c r="R47" s="623"/>
      <c r="S47" s="634">
        <v>5523</v>
      </c>
      <c r="T47" s="626"/>
      <c r="U47" s="636">
        <f t="shared" si="12"/>
        <v>10.4</v>
      </c>
      <c r="V47" s="634">
        <v>5982</v>
      </c>
      <c r="W47" s="634">
        <f t="shared" si="13"/>
        <v>11505</v>
      </c>
      <c r="X47" s="902"/>
      <c r="Y47" s="902">
        <f t="shared" si="14"/>
        <v>0</v>
      </c>
      <c r="Z47" s="942">
        <f>SUM(S44:S47)</f>
        <v>30521952</v>
      </c>
      <c r="AA47" s="943">
        <f>SUM(W44:W47)/A48</f>
        <v>1.6840957423853487E-2</v>
      </c>
      <c r="AB47" s="942">
        <f>SUM(W44:W47)</f>
        <v>31854468</v>
      </c>
    </row>
    <row r="48" spans="1:28">
      <c r="A48" s="939">
        <f>SUM(K44:K47)</f>
        <v>1891487948</v>
      </c>
      <c r="B48" s="38">
        <v>378</v>
      </c>
      <c r="C48" s="638" t="s">
        <v>695</v>
      </c>
      <c r="D48" s="638"/>
      <c r="E48" s="639" t="s">
        <v>662</v>
      </c>
      <c r="F48" s="640"/>
      <c r="G48" s="641">
        <v>47</v>
      </c>
      <c r="H48" s="642" t="s">
        <v>663</v>
      </c>
      <c r="I48" s="588" t="s">
        <v>696</v>
      </c>
      <c r="J48" s="629"/>
      <c r="K48" s="721">
        <v>128305240</v>
      </c>
      <c r="L48" s="623"/>
      <c r="M48" s="634">
        <v>19012244</v>
      </c>
      <c r="N48" s="623"/>
      <c r="O48" s="721">
        <v>109292996</v>
      </c>
      <c r="P48" s="623"/>
      <c r="Q48" s="634">
        <v>3.06</v>
      </c>
      <c r="R48" s="623"/>
      <c r="S48" s="634">
        <v>3929863</v>
      </c>
      <c r="T48" s="626"/>
      <c r="U48" s="636">
        <f t="shared" si="12"/>
        <v>27.8</v>
      </c>
      <c r="V48" s="634">
        <v>364302</v>
      </c>
      <c r="W48" s="634">
        <f t="shared" si="13"/>
        <v>4294165</v>
      </c>
      <c r="X48" s="902">
        <v>3930</v>
      </c>
      <c r="Y48" s="902">
        <f t="shared" si="14"/>
        <v>3930000</v>
      </c>
      <c r="Z48" s="942">
        <f t="shared" ref="Z48:Z49" si="15">+S48</f>
        <v>3929863</v>
      </c>
    </row>
    <row r="49" spans="1:26">
      <c r="A49" s="940">
        <f>+A47/A48</f>
        <v>0.77338913607500293</v>
      </c>
      <c r="B49" s="38">
        <v>379</v>
      </c>
      <c r="C49" s="638" t="s">
        <v>697</v>
      </c>
      <c r="D49" s="638"/>
      <c r="E49" s="639" t="s">
        <v>662</v>
      </c>
      <c r="F49" s="640"/>
      <c r="G49" s="641">
        <v>45</v>
      </c>
      <c r="H49" s="642" t="s">
        <v>663</v>
      </c>
      <c r="I49" s="588" t="s">
        <v>687</v>
      </c>
      <c r="J49" s="629"/>
      <c r="K49" s="721">
        <v>20457246</v>
      </c>
      <c r="L49" s="623"/>
      <c r="M49" s="634">
        <v>7396546</v>
      </c>
      <c r="N49" s="623"/>
      <c r="O49" s="721">
        <v>13060700</v>
      </c>
      <c r="P49" s="623"/>
      <c r="Q49" s="634">
        <v>2.33</v>
      </c>
      <c r="R49" s="623"/>
      <c r="S49" s="634">
        <v>475943</v>
      </c>
      <c r="T49" s="626"/>
      <c r="U49" s="636">
        <f t="shared" si="12"/>
        <v>27.4</v>
      </c>
      <c r="V49" s="634">
        <v>0</v>
      </c>
      <c r="W49" s="634">
        <f t="shared" si="13"/>
        <v>475943</v>
      </c>
      <c r="X49" s="902">
        <v>476</v>
      </c>
      <c r="Y49" s="902">
        <f t="shared" si="14"/>
        <v>476000</v>
      </c>
      <c r="Z49" s="942">
        <f t="shared" si="15"/>
        <v>475943</v>
      </c>
    </row>
    <row r="50" spans="1:26">
      <c r="A50" s="638"/>
      <c r="B50" s="637">
        <v>380</v>
      </c>
      <c r="C50" s="638" t="s">
        <v>698</v>
      </c>
      <c r="D50" s="638"/>
      <c r="E50" s="639" t="s">
        <v>662</v>
      </c>
      <c r="F50" s="640"/>
      <c r="G50" s="641">
        <v>46</v>
      </c>
      <c r="H50" s="642" t="s">
        <v>663</v>
      </c>
      <c r="I50" s="588" t="s">
        <v>699</v>
      </c>
      <c r="J50" s="629"/>
      <c r="K50" s="721">
        <v>1110615592</v>
      </c>
      <c r="L50" s="623"/>
      <c r="M50" s="634">
        <v>350636661</v>
      </c>
      <c r="N50" s="623"/>
      <c r="O50" s="721">
        <v>759978931</v>
      </c>
      <c r="P50" s="623"/>
      <c r="Q50" s="634">
        <v>2.4500000000000002</v>
      </c>
      <c r="R50" s="623"/>
      <c r="S50" s="634">
        <v>27193438</v>
      </c>
      <c r="T50" s="626"/>
      <c r="U50" s="636">
        <f t="shared" si="12"/>
        <v>27.9</v>
      </c>
      <c r="V50" s="634">
        <v>5464619</v>
      </c>
      <c r="W50" s="634">
        <f t="shared" si="13"/>
        <v>32658057</v>
      </c>
      <c r="X50" s="902">
        <v>27195</v>
      </c>
      <c r="Y50" s="902">
        <f t="shared" si="14"/>
        <v>27195000</v>
      </c>
      <c r="Z50" s="942">
        <f>+S50</f>
        <v>27193438</v>
      </c>
    </row>
    <row r="51" spans="1:26">
      <c r="A51" s="638"/>
      <c r="B51" s="38">
        <v>381</v>
      </c>
      <c r="C51" s="181" t="s">
        <v>337</v>
      </c>
      <c r="D51" s="638"/>
      <c r="E51" s="639" t="s">
        <v>662</v>
      </c>
      <c r="F51" s="640"/>
      <c r="G51" s="641">
        <v>35</v>
      </c>
      <c r="H51" s="642" t="s">
        <v>663</v>
      </c>
      <c r="I51" s="588" t="s">
        <v>687</v>
      </c>
      <c r="J51" s="629"/>
      <c r="K51" s="721">
        <v>126407114</v>
      </c>
      <c r="L51" s="623"/>
      <c r="M51" s="634">
        <v>49532325</v>
      </c>
      <c r="N51" s="623"/>
      <c r="O51" s="721">
        <v>76874789</v>
      </c>
      <c r="P51" s="623"/>
      <c r="Q51" s="634">
        <v>3.1</v>
      </c>
      <c r="R51" s="623"/>
      <c r="S51" s="634">
        <v>3914888</v>
      </c>
      <c r="T51" s="626"/>
      <c r="U51" s="636">
        <f t="shared" si="12"/>
        <v>19.600000000000001</v>
      </c>
      <c r="V51" s="634">
        <v>1620</v>
      </c>
      <c r="W51" s="634">
        <f t="shared" si="13"/>
        <v>3916508</v>
      </c>
      <c r="X51" s="902">
        <v>4650</v>
      </c>
      <c r="Y51" s="902">
        <f t="shared" si="14"/>
        <v>4650000</v>
      </c>
    </row>
    <row r="52" spans="1:26">
      <c r="A52" s="638"/>
      <c r="B52" s="38">
        <v>381.1</v>
      </c>
      <c r="C52" s="638" t="s">
        <v>700</v>
      </c>
      <c r="D52" s="638"/>
      <c r="E52" s="639" t="s">
        <v>662</v>
      </c>
      <c r="F52" s="640"/>
      <c r="G52" s="641">
        <v>17</v>
      </c>
      <c r="H52" s="642" t="s">
        <v>663</v>
      </c>
      <c r="I52" s="588" t="s">
        <v>701</v>
      </c>
      <c r="J52" s="629"/>
      <c r="K52" s="721">
        <v>20780450</v>
      </c>
      <c r="L52" s="623"/>
      <c r="M52" s="634">
        <v>17631820</v>
      </c>
      <c r="N52" s="623"/>
      <c r="O52" s="721">
        <v>3148630</v>
      </c>
      <c r="P52" s="623"/>
      <c r="Q52" s="634">
        <v>3.53</v>
      </c>
      <c r="R52" s="623"/>
      <c r="S52" s="634">
        <v>733908</v>
      </c>
      <c r="T52" s="626"/>
      <c r="U52" s="636">
        <f t="shared" si="12"/>
        <v>4.3</v>
      </c>
      <c r="V52" s="634">
        <v>0</v>
      </c>
      <c r="W52" s="634">
        <f t="shared" si="13"/>
        <v>733908</v>
      </c>
      <c r="X52" s="902"/>
      <c r="Y52" s="902">
        <f t="shared" si="14"/>
        <v>0</v>
      </c>
      <c r="Z52" s="942">
        <f>+S51+S52</f>
        <v>4648796</v>
      </c>
    </row>
    <row r="53" spans="1:26">
      <c r="A53" s="638"/>
      <c r="B53" s="637">
        <v>382</v>
      </c>
      <c r="C53" s="638" t="s">
        <v>702</v>
      </c>
      <c r="D53" s="638"/>
      <c r="E53" s="639" t="s">
        <v>662</v>
      </c>
      <c r="F53" s="640"/>
      <c r="G53" s="641">
        <v>46</v>
      </c>
      <c r="H53" s="642" t="s">
        <v>663</v>
      </c>
      <c r="I53" s="588" t="s">
        <v>699</v>
      </c>
      <c r="J53" s="629"/>
      <c r="K53" s="721">
        <v>91675308</v>
      </c>
      <c r="L53" s="623"/>
      <c r="M53" s="634">
        <v>32385827</v>
      </c>
      <c r="N53" s="623"/>
      <c r="O53" s="721">
        <v>59289481</v>
      </c>
      <c r="P53" s="623"/>
      <c r="Q53" s="634">
        <v>2.38</v>
      </c>
      <c r="R53" s="623"/>
      <c r="S53" s="634">
        <v>2185857</v>
      </c>
      <c r="T53" s="626"/>
      <c r="U53" s="636">
        <f t="shared" si="12"/>
        <v>27.1</v>
      </c>
      <c r="V53" s="634">
        <v>275716</v>
      </c>
      <c r="W53" s="634">
        <f t="shared" si="13"/>
        <v>2461573</v>
      </c>
      <c r="X53" s="902">
        <v>2186</v>
      </c>
      <c r="Y53" s="902">
        <f t="shared" si="14"/>
        <v>2186000</v>
      </c>
      <c r="Z53" s="942">
        <f>+S53</f>
        <v>2185857</v>
      </c>
    </row>
    <row r="54" spans="1:26">
      <c r="A54" s="638"/>
      <c r="B54" s="38">
        <v>383</v>
      </c>
      <c r="C54" s="181" t="s">
        <v>490</v>
      </c>
      <c r="D54" s="638"/>
      <c r="E54" s="639" t="s">
        <v>662</v>
      </c>
      <c r="F54" s="640"/>
      <c r="G54" s="641">
        <v>46</v>
      </c>
      <c r="H54" s="642" t="s">
        <v>663</v>
      </c>
      <c r="I54" s="588" t="s">
        <v>699</v>
      </c>
      <c r="J54" s="629"/>
      <c r="K54" s="721">
        <v>12439021</v>
      </c>
      <c r="L54" s="623"/>
      <c r="M54" s="634">
        <v>3577883</v>
      </c>
      <c r="N54" s="623"/>
      <c r="O54" s="721">
        <v>8861138</v>
      </c>
      <c r="P54" s="623"/>
      <c r="Q54" s="634">
        <v>2.84</v>
      </c>
      <c r="R54" s="623"/>
      <c r="S54" s="634">
        <v>353480</v>
      </c>
      <c r="T54" s="626"/>
      <c r="U54" s="636">
        <f t="shared" si="12"/>
        <v>25.1</v>
      </c>
      <c r="V54" s="634">
        <v>1041124</v>
      </c>
      <c r="W54" s="634">
        <f t="shared" si="13"/>
        <v>1394604</v>
      </c>
      <c r="X54" s="902">
        <v>352</v>
      </c>
      <c r="Y54" s="902">
        <f t="shared" si="14"/>
        <v>352000</v>
      </c>
      <c r="Z54" s="942">
        <f t="shared" ref="Z54:Z56" si="16">+S54</f>
        <v>353480</v>
      </c>
    </row>
    <row r="55" spans="1:26">
      <c r="A55" s="638"/>
      <c r="B55" s="38">
        <v>384</v>
      </c>
      <c r="C55" s="181" t="s">
        <v>491</v>
      </c>
      <c r="D55" s="638"/>
      <c r="E55" s="639" t="s">
        <v>662</v>
      </c>
      <c r="F55" s="640"/>
      <c r="G55" s="641">
        <v>46</v>
      </c>
      <c r="H55" s="642" t="s">
        <v>663</v>
      </c>
      <c r="I55" s="588" t="s">
        <v>699</v>
      </c>
      <c r="J55" s="629"/>
      <c r="K55" s="721">
        <v>17682023</v>
      </c>
      <c r="L55" s="623"/>
      <c r="M55" s="634">
        <v>8404342</v>
      </c>
      <c r="N55" s="623"/>
      <c r="O55" s="721">
        <v>9277681</v>
      </c>
      <c r="P55" s="623"/>
      <c r="Q55" s="634">
        <v>1.98</v>
      </c>
      <c r="R55" s="623"/>
      <c r="S55" s="634">
        <v>350518</v>
      </c>
      <c r="T55" s="626"/>
      <c r="U55" s="636">
        <f t="shared" si="12"/>
        <v>26.5</v>
      </c>
      <c r="V55" s="634">
        <v>6074</v>
      </c>
      <c r="W55" s="634">
        <f t="shared" si="13"/>
        <v>356592</v>
      </c>
      <c r="X55" s="902">
        <v>351</v>
      </c>
      <c r="Y55" s="902">
        <f t="shared" si="14"/>
        <v>351000</v>
      </c>
      <c r="Z55" s="942">
        <f t="shared" si="16"/>
        <v>350518</v>
      </c>
    </row>
    <row r="56" spans="1:26">
      <c r="A56" s="638"/>
      <c r="B56" s="38">
        <v>385</v>
      </c>
      <c r="C56" s="638" t="s">
        <v>703</v>
      </c>
      <c r="D56" s="638"/>
      <c r="E56" s="639" t="s">
        <v>662</v>
      </c>
      <c r="F56" s="640"/>
      <c r="G56" s="641">
        <v>45</v>
      </c>
      <c r="H56" s="642" t="s">
        <v>663</v>
      </c>
      <c r="I56" s="588" t="s">
        <v>687</v>
      </c>
      <c r="J56" s="629"/>
      <c r="K56" s="721">
        <v>33098849</v>
      </c>
      <c r="L56" s="623"/>
      <c r="M56" s="634">
        <v>15825179</v>
      </c>
      <c r="N56" s="623"/>
      <c r="O56" s="721">
        <v>17273670</v>
      </c>
      <c r="P56" s="623"/>
      <c r="Q56" s="634">
        <v>1.99</v>
      </c>
      <c r="R56" s="623"/>
      <c r="S56" s="634">
        <v>659138</v>
      </c>
      <c r="T56" s="626"/>
      <c r="U56" s="636">
        <f t="shared" si="12"/>
        <v>26.2</v>
      </c>
      <c r="V56" s="634">
        <v>8339</v>
      </c>
      <c r="W56" s="634">
        <f t="shared" si="13"/>
        <v>667477</v>
      </c>
      <c r="X56" s="902">
        <v>659</v>
      </c>
      <c r="Y56" s="902">
        <f t="shared" si="14"/>
        <v>659000</v>
      </c>
      <c r="Z56" s="942">
        <f t="shared" si="16"/>
        <v>659138</v>
      </c>
    </row>
    <row r="57" spans="1:26">
      <c r="A57" s="638"/>
      <c r="B57" s="38">
        <v>386</v>
      </c>
      <c r="C57" s="638" t="s">
        <v>704</v>
      </c>
      <c r="D57" s="638"/>
      <c r="E57" s="639" t="s">
        <v>662</v>
      </c>
      <c r="F57" s="640"/>
      <c r="G57" s="641">
        <v>46</v>
      </c>
      <c r="H57" s="642" t="s">
        <v>663</v>
      </c>
      <c r="I57" s="588" t="s">
        <v>699</v>
      </c>
      <c r="J57" s="629"/>
      <c r="K57" s="721">
        <v>337967</v>
      </c>
      <c r="L57" s="623"/>
      <c r="M57" s="634">
        <v>155377</v>
      </c>
      <c r="N57" s="623"/>
      <c r="O57" s="721">
        <v>182590</v>
      </c>
      <c r="P57" s="623"/>
      <c r="Q57" s="634">
        <v>2.19</v>
      </c>
      <c r="R57" s="623"/>
      <c r="S57" s="634">
        <v>7403</v>
      </c>
      <c r="T57" s="626"/>
      <c r="U57" s="636">
        <f t="shared" si="12"/>
        <v>24.7</v>
      </c>
      <c r="V57" s="634">
        <v>0</v>
      </c>
      <c r="W57" s="634">
        <f t="shared" si="13"/>
        <v>7403</v>
      </c>
      <c r="X57" s="902">
        <v>23</v>
      </c>
      <c r="Y57" s="902">
        <f t="shared" si="14"/>
        <v>23000</v>
      </c>
    </row>
    <row r="58" spans="1:26">
      <c r="A58" s="638"/>
      <c r="B58" s="38">
        <v>386.1</v>
      </c>
      <c r="C58" s="638" t="s">
        <v>705</v>
      </c>
      <c r="D58" s="638"/>
      <c r="E58" s="639" t="s">
        <v>662</v>
      </c>
      <c r="F58" s="640"/>
      <c r="G58" s="641">
        <v>45</v>
      </c>
      <c r="H58" s="642" t="s">
        <v>663</v>
      </c>
      <c r="I58" s="588" t="s">
        <v>687</v>
      </c>
      <c r="J58" s="629"/>
      <c r="K58" s="721">
        <v>951957</v>
      </c>
      <c r="L58" s="623"/>
      <c r="M58" s="634">
        <v>631815</v>
      </c>
      <c r="N58" s="623"/>
      <c r="O58" s="721">
        <v>320142</v>
      </c>
      <c r="P58" s="623"/>
      <c r="Q58" s="634">
        <v>1.64</v>
      </c>
      <c r="R58" s="623"/>
      <c r="S58" s="634">
        <v>15572</v>
      </c>
      <c r="T58" s="626"/>
      <c r="U58" s="636">
        <f t="shared" si="12"/>
        <v>20.6</v>
      </c>
      <c r="V58" s="634">
        <v>0</v>
      </c>
      <c r="W58" s="634">
        <f t="shared" si="13"/>
        <v>15572</v>
      </c>
      <c r="X58" s="902"/>
      <c r="Y58" s="902">
        <f t="shared" si="14"/>
        <v>0</v>
      </c>
    </row>
    <row r="59" spans="1:26">
      <c r="A59" s="638"/>
      <c r="B59" s="38">
        <v>386.2</v>
      </c>
      <c r="C59" s="638" t="s">
        <v>706</v>
      </c>
      <c r="D59" s="638"/>
      <c r="E59" s="639" t="s">
        <v>662</v>
      </c>
      <c r="F59" s="640"/>
      <c r="G59" s="641">
        <v>25</v>
      </c>
      <c r="H59" s="642" t="s">
        <v>663</v>
      </c>
      <c r="I59" s="588" t="s">
        <v>685</v>
      </c>
      <c r="J59" s="629"/>
      <c r="K59" s="721">
        <v>24705</v>
      </c>
      <c r="L59" s="623"/>
      <c r="M59" s="634">
        <v>24253</v>
      </c>
      <c r="N59" s="623"/>
      <c r="O59" s="721">
        <v>452</v>
      </c>
      <c r="P59" s="623"/>
      <c r="Q59" s="634">
        <v>0.51</v>
      </c>
      <c r="R59" s="623"/>
      <c r="S59" s="634">
        <v>126</v>
      </c>
      <c r="T59" s="626"/>
      <c r="U59" s="636">
        <f t="shared" si="12"/>
        <v>3.6</v>
      </c>
      <c r="V59" s="634">
        <v>0</v>
      </c>
      <c r="W59" s="634">
        <f t="shared" si="13"/>
        <v>126</v>
      </c>
      <c r="X59" s="902"/>
      <c r="Y59" s="902">
        <f t="shared" si="14"/>
        <v>0</v>
      </c>
    </row>
    <row r="60" spans="1:26">
      <c r="A60" s="638"/>
      <c r="B60" s="38">
        <v>386.3</v>
      </c>
      <c r="C60" s="638" t="s">
        <v>707</v>
      </c>
      <c r="D60" s="638"/>
      <c r="E60" s="639"/>
      <c r="F60" s="640"/>
      <c r="G60" s="641"/>
      <c r="H60" s="642"/>
      <c r="I60" s="588"/>
      <c r="J60" s="629"/>
      <c r="K60" s="721">
        <v>0</v>
      </c>
      <c r="L60" s="623"/>
      <c r="M60" s="634">
        <v>2589</v>
      </c>
      <c r="N60" s="623"/>
      <c r="O60" s="721">
        <v>-2589</v>
      </c>
      <c r="P60" s="623"/>
      <c r="Q60" s="634">
        <v>0</v>
      </c>
      <c r="R60" s="623"/>
      <c r="S60" s="634">
        <v>0</v>
      </c>
      <c r="T60" s="626"/>
      <c r="U60" s="636">
        <f t="shared" si="12"/>
        <v>0</v>
      </c>
      <c r="V60" s="634">
        <v>0</v>
      </c>
      <c r="W60" s="634">
        <f t="shared" si="13"/>
        <v>0</v>
      </c>
      <c r="X60" s="902"/>
      <c r="Y60" s="902">
        <f t="shared" si="14"/>
        <v>0</v>
      </c>
      <c r="Z60" s="942">
        <f>SUM(S57:S60)</f>
        <v>23101</v>
      </c>
    </row>
    <row r="61" spans="1:26">
      <c r="A61" s="638"/>
      <c r="B61" s="38">
        <v>387</v>
      </c>
      <c r="C61" s="181" t="s">
        <v>678</v>
      </c>
      <c r="D61" s="638"/>
      <c r="E61" s="639" t="s">
        <v>662</v>
      </c>
      <c r="F61" s="640"/>
      <c r="G61" s="641">
        <v>35</v>
      </c>
      <c r="H61" s="642" t="s">
        <v>663</v>
      </c>
      <c r="I61" s="588" t="s">
        <v>689</v>
      </c>
      <c r="J61" s="629"/>
      <c r="K61" s="721">
        <v>4067198</v>
      </c>
      <c r="L61" s="623"/>
      <c r="M61" s="634">
        <v>2694904</v>
      </c>
      <c r="N61" s="623"/>
      <c r="O61" s="721">
        <v>1372294</v>
      </c>
      <c r="P61" s="623"/>
      <c r="Q61" s="634">
        <v>1.98</v>
      </c>
      <c r="R61" s="623"/>
      <c r="S61" s="634">
        <v>80335</v>
      </c>
      <c r="T61" s="626"/>
      <c r="U61" s="636">
        <f t="shared" si="12"/>
        <v>17.100000000000001</v>
      </c>
      <c r="V61" s="634">
        <v>1643</v>
      </c>
      <c r="W61" s="634">
        <f t="shared" si="13"/>
        <v>81978</v>
      </c>
      <c r="X61" s="902">
        <v>84</v>
      </c>
      <c r="Y61" s="902">
        <f t="shared" si="14"/>
        <v>84000</v>
      </c>
    </row>
    <row r="62" spans="1:26">
      <c r="A62" s="638"/>
      <c r="B62" s="38">
        <v>387.1</v>
      </c>
      <c r="C62" s="181" t="s">
        <v>708</v>
      </c>
      <c r="D62" s="638"/>
      <c r="E62" s="639" t="s">
        <v>662</v>
      </c>
      <c r="F62" s="640"/>
      <c r="G62" s="641">
        <v>25</v>
      </c>
      <c r="H62" s="642" t="s">
        <v>663</v>
      </c>
      <c r="I62" s="588" t="s">
        <v>709</v>
      </c>
      <c r="J62" s="629"/>
      <c r="K62" s="721">
        <v>1490664</v>
      </c>
      <c r="L62" s="623"/>
      <c r="M62" s="634">
        <v>1459954</v>
      </c>
      <c r="N62" s="623"/>
      <c r="O62" s="721">
        <v>30710</v>
      </c>
      <c r="P62" s="623"/>
      <c r="Q62" s="634">
        <v>0.3</v>
      </c>
      <c r="R62" s="623"/>
      <c r="S62" s="634">
        <v>4448</v>
      </c>
      <c r="T62" s="626"/>
      <c r="U62" s="636">
        <f t="shared" si="12"/>
        <v>6.9</v>
      </c>
      <c r="V62" s="634">
        <v>0</v>
      </c>
      <c r="W62" s="634">
        <f t="shared" si="13"/>
        <v>4448</v>
      </c>
      <c r="X62" s="902"/>
      <c r="Y62" s="902">
        <f t="shared" si="14"/>
        <v>0</v>
      </c>
      <c r="Z62" s="942">
        <f>+S61+S62</f>
        <v>84783</v>
      </c>
    </row>
    <row r="63" spans="1:26">
      <c r="B63" s="594" t="s">
        <v>492</v>
      </c>
      <c r="C63" s="638"/>
      <c r="D63" s="638"/>
      <c r="E63" s="622"/>
      <c r="F63" s="648"/>
      <c r="G63" s="588"/>
      <c r="H63" s="588"/>
      <c r="I63" s="588"/>
      <c r="J63" s="629"/>
      <c r="K63" s="722">
        <f>SUBTOTAL(9,K42:K62)</f>
        <v>3468356838</v>
      </c>
      <c r="M63" s="643">
        <f>SUBTOTAL(9,M42:M62)</f>
        <v>942369189</v>
      </c>
      <c r="N63" s="21"/>
      <c r="O63" s="643">
        <f>SUBTOTAL(9,O42:O62)</f>
        <v>2525987649</v>
      </c>
      <c r="P63" s="21"/>
      <c r="Q63" s="644">
        <f>ROUND(S63/K63*100,2)</f>
        <v>2.0299999999999998</v>
      </c>
      <c r="R63" s="21"/>
      <c r="S63" s="643">
        <f>SUBTOTAL(9,S42:S62)</f>
        <v>70553027</v>
      </c>
      <c r="T63" s="643"/>
      <c r="U63" s="882">
        <f t="shared" ref="U63:W63" si="17">SUBTOTAL(9,U42:U62)</f>
        <v>469.50000000000011</v>
      </c>
      <c r="V63" s="643">
        <f t="shared" si="17"/>
        <v>8502972</v>
      </c>
      <c r="W63" s="643">
        <f t="shared" si="17"/>
        <v>79055999</v>
      </c>
      <c r="X63" s="904">
        <f>SUBTOTAL(9,X42:X62)</f>
        <v>70554</v>
      </c>
      <c r="Y63" s="904">
        <f>SUBTOTAL(9,Y42:Y62)</f>
        <v>70554000</v>
      </c>
      <c r="Z63" s="904">
        <f>SUBTOTAL(9,Z42:Z62)</f>
        <v>70553027</v>
      </c>
    </row>
    <row r="64" spans="1:26">
      <c r="A64" s="638"/>
      <c r="B64" s="638"/>
      <c r="C64" s="638"/>
      <c r="D64" s="638"/>
      <c r="E64" s="622"/>
      <c r="F64" s="648"/>
      <c r="G64" s="588"/>
      <c r="H64" s="588"/>
      <c r="I64" s="588"/>
      <c r="J64" s="629"/>
      <c r="K64" s="4"/>
      <c r="L64" s="15"/>
      <c r="M64" s="638"/>
      <c r="N64" s="21"/>
      <c r="O64" s="21"/>
      <c r="P64" s="21"/>
      <c r="Q64" s="651"/>
      <c r="R64" s="21"/>
      <c r="S64" s="638"/>
      <c r="T64" s="626"/>
      <c r="U64" s="652"/>
      <c r="V64" s="638"/>
      <c r="W64" s="638"/>
      <c r="X64" s="15"/>
      <c r="Y64" s="15"/>
      <c r="Z64" s="15"/>
    </row>
    <row r="65" spans="1:25">
      <c r="B65" s="594" t="s">
        <v>241</v>
      </c>
      <c r="C65" s="629"/>
      <c r="D65" s="629"/>
      <c r="E65" s="622"/>
      <c r="F65" s="648"/>
      <c r="G65" s="588"/>
      <c r="H65" s="588"/>
      <c r="I65" s="588"/>
      <c r="J65" s="629"/>
      <c r="K65" s="547"/>
      <c r="L65" s="623"/>
      <c r="M65" s="629"/>
      <c r="N65" s="630"/>
      <c r="O65" s="630"/>
      <c r="P65" s="630"/>
      <c r="Q65" s="653"/>
      <c r="R65" s="630"/>
      <c r="S65" s="629"/>
      <c r="T65" s="622"/>
      <c r="U65" s="654"/>
      <c r="V65" s="629"/>
      <c r="W65" s="629"/>
    </row>
    <row r="66" spans="1:25">
      <c r="B66" s="655">
        <v>390.1</v>
      </c>
      <c r="C66" s="656" t="s">
        <v>488</v>
      </c>
      <c r="D66" s="629"/>
      <c r="E66" s="622"/>
      <c r="F66" s="648"/>
      <c r="G66" s="588"/>
      <c r="H66" s="588"/>
      <c r="I66" s="588"/>
      <c r="J66" s="629"/>
      <c r="K66" s="547"/>
      <c r="L66" s="623"/>
      <c r="M66" s="629"/>
      <c r="N66" s="630"/>
      <c r="O66" s="630"/>
      <c r="P66" s="630"/>
      <c r="Q66" s="653"/>
      <c r="R66" s="630"/>
      <c r="S66" s="629"/>
      <c r="T66" s="622"/>
      <c r="U66" s="654"/>
      <c r="V66" s="629"/>
      <c r="W66" s="629"/>
      <c r="X66" s="575">
        <v>5527</v>
      </c>
      <c r="Y66" s="902">
        <f t="shared" ref="Y66" si="18">X66*1000</f>
        <v>5527000</v>
      </c>
    </row>
    <row r="67" spans="1:25">
      <c r="A67" s="629"/>
      <c r="B67" s="657"/>
      <c r="C67" s="658" t="s">
        <v>710</v>
      </c>
      <c r="D67" s="659"/>
      <c r="E67" s="639">
        <v>46203</v>
      </c>
      <c r="F67" s="640"/>
      <c r="G67" s="641">
        <v>80</v>
      </c>
      <c r="H67" s="642" t="s">
        <v>663</v>
      </c>
      <c r="I67" s="588" t="s">
        <v>711</v>
      </c>
      <c r="J67" s="629"/>
      <c r="K67" s="721">
        <v>5364201</v>
      </c>
      <c r="L67" s="623"/>
      <c r="M67" s="634">
        <v>2611542</v>
      </c>
      <c r="N67" s="623"/>
      <c r="O67" s="721">
        <v>2752659</v>
      </c>
      <c r="P67" s="623"/>
      <c r="Q67" s="634">
        <v>9.09</v>
      </c>
      <c r="R67" s="623"/>
      <c r="S67" s="634">
        <v>487773</v>
      </c>
      <c r="T67" s="626"/>
      <c r="U67" s="636">
        <f t="shared" ref="U67:U81" si="19">IF(S67=0,0,ROUND(O67/S67,1))</f>
        <v>5.6</v>
      </c>
      <c r="V67" s="634">
        <v>97098</v>
      </c>
      <c r="W67" s="634"/>
      <c r="X67" s="902"/>
      <c r="Y67" s="905"/>
    </row>
    <row r="68" spans="1:25">
      <c r="A68" s="638"/>
      <c r="B68" s="657"/>
      <c r="C68" s="658" t="s">
        <v>712</v>
      </c>
      <c r="D68" s="659"/>
      <c r="E68" s="639">
        <v>47664</v>
      </c>
      <c r="F68" s="640"/>
      <c r="G68" s="641">
        <v>80</v>
      </c>
      <c r="H68" s="642" t="s">
        <v>663</v>
      </c>
      <c r="I68" s="588" t="s">
        <v>711</v>
      </c>
      <c r="J68" s="629"/>
      <c r="K68" s="721">
        <v>19118524</v>
      </c>
      <c r="L68" s="623"/>
      <c r="M68" s="634">
        <v>8703804</v>
      </c>
      <c r="N68" s="623"/>
      <c r="O68" s="721">
        <v>10414720</v>
      </c>
      <c r="P68" s="623"/>
      <c r="Q68" s="634">
        <v>5.79</v>
      </c>
      <c r="R68" s="623"/>
      <c r="S68" s="634">
        <v>1107090</v>
      </c>
      <c r="T68" s="626"/>
      <c r="U68" s="636">
        <f t="shared" si="19"/>
        <v>9.4</v>
      </c>
      <c r="V68" s="634"/>
      <c r="W68" s="634"/>
      <c r="X68" s="902"/>
    </row>
    <row r="69" spans="1:25">
      <c r="A69" s="638"/>
      <c r="B69" s="657"/>
      <c r="C69" s="658" t="s">
        <v>713</v>
      </c>
      <c r="D69" s="659"/>
      <c r="E69" s="639">
        <v>45747</v>
      </c>
      <c r="F69" s="640"/>
      <c r="G69" s="641">
        <v>80</v>
      </c>
      <c r="H69" s="642" t="s">
        <v>663</v>
      </c>
      <c r="I69" s="588" t="s">
        <v>711</v>
      </c>
      <c r="J69" s="629"/>
      <c r="K69" s="721">
        <v>6891909</v>
      </c>
      <c r="L69" s="623"/>
      <c r="M69" s="634">
        <v>4374149</v>
      </c>
      <c r="N69" s="623"/>
      <c r="O69" s="721">
        <v>2517760</v>
      </c>
      <c r="P69" s="623"/>
      <c r="Q69" s="634">
        <v>8.2100000000000009</v>
      </c>
      <c r="R69" s="623"/>
      <c r="S69" s="634">
        <v>565598</v>
      </c>
      <c r="T69" s="626"/>
      <c r="U69" s="636">
        <f t="shared" si="19"/>
        <v>4.5</v>
      </c>
      <c r="V69" s="634"/>
      <c r="W69" s="634"/>
      <c r="X69" s="902"/>
    </row>
    <row r="70" spans="1:25">
      <c r="A70" s="638"/>
      <c r="B70" s="657"/>
      <c r="C70" s="658" t="s">
        <v>714</v>
      </c>
      <c r="D70" s="659"/>
      <c r="E70" s="639">
        <v>46568</v>
      </c>
      <c r="F70" s="640"/>
      <c r="G70" s="641">
        <v>80</v>
      </c>
      <c r="H70" s="642" t="s">
        <v>663</v>
      </c>
      <c r="I70" s="588" t="s">
        <v>711</v>
      </c>
      <c r="J70" s="629"/>
      <c r="K70" s="721">
        <v>2344702</v>
      </c>
      <c r="L70" s="623"/>
      <c r="M70" s="634">
        <v>1572886</v>
      </c>
      <c r="N70" s="623"/>
      <c r="O70" s="721">
        <v>771816</v>
      </c>
      <c r="P70" s="623"/>
      <c r="Q70" s="634">
        <v>5.01</v>
      </c>
      <c r="R70" s="623"/>
      <c r="S70" s="634">
        <v>117485</v>
      </c>
      <c r="T70" s="626"/>
      <c r="U70" s="636">
        <f t="shared" si="19"/>
        <v>6.6</v>
      </c>
      <c r="V70" s="634"/>
      <c r="W70" s="634"/>
      <c r="X70" s="902"/>
    </row>
    <row r="71" spans="1:25">
      <c r="A71" s="638"/>
      <c r="B71" s="657"/>
      <c r="C71" s="658" t="s">
        <v>715</v>
      </c>
      <c r="D71" s="659"/>
      <c r="E71" s="639">
        <v>58256</v>
      </c>
      <c r="F71" s="640"/>
      <c r="G71" s="641">
        <v>80</v>
      </c>
      <c r="H71" s="642" t="s">
        <v>663</v>
      </c>
      <c r="I71" s="588" t="s">
        <v>711</v>
      </c>
      <c r="J71" s="629"/>
      <c r="K71" s="721">
        <v>6066247</v>
      </c>
      <c r="L71" s="623"/>
      <c r="M71" s="634">
        <v>1244563</v>
      </c>
      <c r="N71" s="623"/>
      <c r="O71" s="721">
        <v>4821684</v>
      </c>
      <c r="P71" s="623"/>
      <c r="Q71" s="634">
        <v>2.48</v>
      </c>
      <c r="R71" s="623"/>
      <c r="S71" s="634">
        <v>150453</v>
      </c>
      <c r="T71" s="626"/>
      <c r="U71" s="636">
        <f t="shared" si="19"/>
        <v>32</v>
      </c>
      <c r="V71" s="634"/>
      <c r="W71" s="634"/>
      <c r="X71" s="902"/>
    </row>
    <row r="72" spans="1:25">
      <c r="A72" s="638"/>
      <c r="B72" s="657"/>
      <c r="C72" s="658" t="s">
        <v>716</v>
      </c>
      <c r="D72" s="659"/>
      <c r="E72" s="639">
        <v>62366</v>
      </c>
      <c r="F72" s="640"/>
      <c r="G72" s="641">
        <v>80</v>
      </c>
      <c r="H72" s="642" t="s">
        <v>663</v>
      </c>
      <c r="I72" s="588" t="s">
        <v>711</v>
      </c>
      <c r="J72" s="629"/>
      <c r="K72" s="721">
        <v>34000000</v>
      </c>
      <c r="L72" s="623"/>
      <c r="M72" s="634">
        <v>0</v>
      </c>
      <c r="N72" s="623"/>
      <c r="O72" s="721">
        <v>34000000</v>
      </c>
      <c r="P72" s="623"/>
      <c r="Q72" s="634">
        <v>3.05</v>
      </c>
      <c r="R72" s="623"/>
      <c r="S72" s="634">
        <v>1036834</v>
      </c>
      <c r="T72" s="626"/>
      <c r="U72" s="636">
        <f t="shared" si="19"/>
        <v>32.799999999999997</v>
      </c>
      <c r="V72" s="634"/>
      <c r="W72" s="634"/>
      <c r="X72" s="902"/>
    </row>
    <row r="73" spans="1:25">
      <c r="A73" s="638"/>
      <c r="B73" s="657"/>
      <c r="C73" s="658" t="s">
        <v>717</v>
      </c>
      <c r="D73" s="659"/>
      <c r="E73" s="639">
        <v>54057</v>
      </c>
      <c r="F73" s="640"/>
      <c r="G73" s="641">
        <v>80</v>
      </c>
      <c r="H73" s="642" t="s">
        <v>663</v>
      </c>
      <c r="I73" s="588" t="s">
        <v>711</v>
      </c>
      <c r="J73" s="629"/>
      <c r="K73" s="721">
        <v>12378296</v>
      </c>
      <c r="L73" s="623"/>
      <c r="M73" s="634">
        <v>5574362</v>
      </c>
      <c r="N73" s="623"/>
      <c r="O73" s="721">
        <v>6803934</v>
      </c>
      <c r="P73" s="623"/>
      <c r="Q73" s="634">
        <v>2.2599999999999998</v>
      </c>
      <c r="R73" s="623"/>
      <c r="S73" s="634">
        <v>279714</v>
      </c>
      <c r="T73" s="626"/>
      <c r="U73" s="636">
        <f t="shared" si="19"/>
        <v>24.3</v>
      </c>
      <c r="V73" s="634"/>
      <c r="W73" s="634"/>
      <c r="X73" s="902"/>
    </row>
    <row r="74" spans="1:25">
      <c r="A74" s="638"/>
      <c r="B74" s="657"/>
      <c r="C74" s="658" t="s">
        <v>718</v>
      </c>
      <c r="D74" s="659"/>
      <c r="E74" s="639">
        <v>44651</v>
      </c>
      <c r="F74" s="640"/>
      <c r="G74" s="641">
        <v>80</v>
      </c>
      <c r="H74" s="642" t="s">
        <v>663</v>
      </c>
      <c r="I74" s="588" t="s">
        <v>711</v>
      </c>
      <c r="J74" s="629"/>
      <c r="K74" s="721">
        <v>1491345</v>
      </c>
      <c r="L74" s="623"/>
      <c r="M74" s="634">
        <v>1398688</v>
      </c>
      <c r="N74" s="623"/>
      <c r="O74" s="721">
        <v>92657</v>
      </c>
      <c r="P74" s="623"/>
      <c r="Q74" s="634">
        <v>4.1500000000000004</v>
      </c>
      <c r="R74" s="623"/>
      <c r="S74" s="634">
        <v>61873</v>
      </c>
      <c r="T74" s="626"/>
      <c r="U74" s="636">
        <f t="shared" si="19"/>
        <v>1.5</v>
      </c>
      <c r="V74" s="634"/>
      <c r="W74" s="634"/>
      <c r="X74" s="902"/>
    </row>
    <row r="75" spans="1:25">
      <c r="A75" s="638"/>
      <c r="B75" s="657"/>
      <c r="C75" s="658" t="s">
        <v>719</v>
      </c>
      <c r="D75" s="659"/>
      <c r="E75" s="639">
        <v>55884</v>
      </c>
      <c r="F75" s="640"/>
      <c r="G75" s="641">
        <v>80</v>
      </c>
      <c r="H75" s="642" t="s">
        <v>663</v>
      </c>
      <c r="I75" s="588" t="s">
        <v>711</v>
      </c>
      <c r="J75" s="629"/>
      <c r="K75" s="721">
        <v>4712034</v>
      </c>
      <c r="L75" s="623"/>
      <c r="M75" s="634">
        <v>1840696</v>
      </c>
      <c r="N75" s="623"/>
      <c r="O75" s="721">
        <v>2871338</v>
      </c>
      <c r="P75" s="623"/>
      <c r="Q75" s="634">
        <v>2.16</v>
      </c>
      <c r="R75" s="623"/>
      <c r="S75" s="634">
        <v>101853</v>
      </c>
      <c r="T75" s="626"/>
      <c r="U75" s="636">
        <f t="shared" si="19"/>
        <v>28.2</v>
      </c>
      <c r="V75" s="634"/>
      <c r="W75" s="634"/>
      <c r="X75" s="902"/>
    </row>
    <row r="76" spans="1:25">
      <c r="A76" s="638"/>
      <c r="B76" s="657"/>
      <c r="C76" s="658" t="s">
        <v>720</v>
      </c>
      <c r="D76" s="659"/>
      <c r="E76" s="639">
        <v>58440</v>
      </c>
      <c r="F76" s="640"/>
      <c r="G76" s="641">
        <v>80</v>
      </c>
      <c r="H76" s="642" t="s">
        <v>663</v>
      </c>
      <c r="I76" s="588" t="s">
        <v>711</v>
      </c>
      <c r="J76" s="629"/>
      <c r="K76" s="721">
        <v>1431281</v>
      </c>
      <c r="L76" s="623"/>
      <c r="M76" s="634">
        <v>352954</v>
      </c>
      <c r="N76" s="623"/>
      <c r="O76" s="721">
        <v>1078327</v>
      </c>
      <c r="P76" s="623"/>
      <c r="Q76" s="634">
        <v>2.3199999999999998</v>
      </c>
      <c r="R76" s="623"/>
      <c r="S76" s="634">
        <v>33166</v>
      </c>
      <c r="T76" s="626"/>
      <c r="U76" s="636">
        <f t="shared" si="19"/>
        <v>32.5</v>
      </c>
      <c r="V76" s="634"/>
      <c r="W76" s="634"/>
      <c r="X76" s="902"/>
    </row>
    <row r="77" spans="1:25">
      <c r="A77" s="638"/>
      <c r="B77" s="657"/>
      <c r="C77" s="658" t="s">
        <v>721</v>
      </c>
      <c r="D77" s="659"/>
      <c r="E77" s="639">
        <v>48760</v>
      </c>
      <c r="F77" s="640"/>
      <c r="G77" s="641">
        <v>80</v>
      </c>
      <c r="H77" s="642" t="s">
        <v>663</v>
      </c>
      <c r="I77" s="588" t="s">
        <v>711</v>
      </c>
      <c r="J77" s="629"/>
      <c r="K77" s="721">
        <v>758332</v>
      </c>
      <c r="L77" s="623"/>
      <c r="M77" s="634">
        <v>339958</v>
      </c>
      <c r="N77" s="623"/>
      <c r="O77" s="721">
        <v>418374</v>
      </c>
      <c r="P77" s="623"/>
      <c r="Q77" s="634">
        <v>4.51</v>
      </c>
      <c r="R77" s="623"/>
      <c r="S77" s="634">
        <v>34227</v>
      </c>
      <c r="T77" s="626"/>
      <c r="U77" s="636">
        <f t="shared" si="19"/>
        <v>12.2</v>
      </c>
      <c r="V77" s="634"/>
      <c r="W77" s="634"/>
      <c r="X77" s="902"/>
    </row>
    <row r="78" spans="1:25">
      <c r="A78" s="638"/>
      <c r="B78" s="657"/>
      <c r="C78" s="658" t="s">
        <v>722</v>
      </c>
      <c r="D78" s="659"/>
      <c r="E78" s="639">
        <v>52047</v>
      </c>
      <c r="F78" s="640"/>
      <c r="G78" s="641">
        <v>80</v>
      </c>
      <c r="H78" s="642" t="s">
        <v>663</v>
      </c>
      <c r="I78" s="588" t="s">
        <v>711</v>
      </c>
      <c r="J78" s="629"/>
      <c r="K78" s="721">
        <v>1703412</v>
      </c>
      <c r="L78" s="623"/>
      <c r="M78" s="634">
        <v>895124</v>
      </c>
      <c r="N78" s="623"/>
      <c r="O78" s="721">
        <v>808288</v>
      </c>
      <c r="P78" s="623"/>
      <c r="Q78" s="634">
        <v>2.38</v>
      </c>
      <c r="R78" s="623"/>
      <c r="S78" s="634">
        <v>40608</v>
      </c>
      <c r="T78" s="626"/>
      <c r="U78" s="636">
        <f t="shared" si="19"/>
        <v>19.899999999999999</v>
      </c>
      <c r="V78" s="634"/>
      <c r="W78" s="634"/>
      <c r="X78" s="902"/>
    </row>
    <row r="79" spans="1:25">
      <c r="A79" s="638"/>
      <c r="B79" s="657"/>
      <c r="C79" s="658" t="s">
        <v>723</v>
      </c>
      <c r="D79" s="659"/>
      <c r="E79" s="639">
        <v>54604</v>
      </c>
      <c r="F79" s="640"/>
      <c r="G79" s="641">
        <v>80</v>
      </c>
      <c r="H79" s="642" t="s">
        <v>663</v>
      </c>
      <c r="I79" s="588" t="s">
        <v>711</v>
      </c>
      <c r="J79" s="629"/>
      <c r="K79" s="721">
        <v>1064358</v>
      </c>
      <c r="L79" s="623"/>
      <c r="M79" s="634">
        <v>401897</v>
      </c>
      <c r="N79" s="623"/>
      <c r="O79" s="721">
        <v>662461</v>
      </c>
      <c r="P79" s="623"/>
      <c r="Q79" s="634">
        <v>2.46</v>
      </c>
      <c r="R79" s="623"/>
      <c r="S79" s="634">
        <v>26137</v>
      </c>
      <c r="T79" s="626"/>
      <c r="U79" s="636">
        <f t="shared" si="19"/>
        <v>25.3</v>
      </c>
      <c r="V79" s="634"/>
      <c r="W79" s="634"/>
      <c r="X79" s="902"/>
    </row>
    <row r="80" spans="1:25">
      <c r="A80" s="638"/>
      <c r="B80" s="657"/>
      <c r="C80" s="658" t="s">
        <v>724</v>
      </c>
      <c r="D80" s="659"/>
      <c r="E80" s="639">
        <v>61818</v>
      </c>
      <c r="F80" s="640"/>
      <c r="G80" s="641">
        <v>80</v>
      </c>
      <c r="H80" s="642" t="s">
        <v>663</v>
      </c>
      <c r="I80" s="588" t="s">
        <v>711</v>
      </c>
      <c r="J80" s="629"/>
      <c r="K80" s="721">
        <v>4300000</v>
      </c>
      <c r="L80" s="623"/>
      <c r="M80" s="634">
        <v>97931</v>
      </c>
      <c r="N80" s="623"/>
      <c r="O80" s="721">
        <v>4202069</v>
      </c>
      <c r="P80" s="623"/>
      <c r="Q80" s="634">
        <v>2.96</v>
      </c>
      <c r="R80" s="623"/>
      <c r="S80" s="634">
        <v>127371</v>
      </c>
      <c r="T80" s="626"/>
      <c r="U80" s="636">
        <f t="shared" si="19"/>
        <v>33</v>
      </c>
      <c r="V80" s="634"/>
      <c r="W80" s="634"/>
      <c r="X80" s="902"/>
    </row>
    <row r="81" spans="1:26">
      <c r="A81" s="638"/>
      <c r="B81" s="657"/>
      <c r="C81" s="658" t="s">
        <v>669</v>
      </c>
      <c r="D81" s="659"/>
      <c r="E81" s="639" t="s">
        <v>662</v>
      </c>
      <c r="F81" s="640"/>
      <c r="G81" s="641">
        <v>40</v>
      </c>
      <c r="H81" s="642" t="s">
        <v>663</v>
      </c>
      <c r="I81" s="588" t="s">
        <v>687</v>
      </c>
      <c r="J81" s="629"/>
      <c r="K81" s="721">
        <v>16844450</v>
      </c>
      <c r="L81" s="623"/>
      <c r="M81" s="634">
        <v>5787088</v>
      </c>
      <c r="N81" s="623"/>
      <c r="O81" s="721">
        <v>11057362</v>
      </c>
      <c r="P81" s="623"/>
      <c r="Q81" s="634">
        <v>2.78</v>
      </c>
      <c r="R81" s="623"/>
      <c r="S81" s="634">
        <v>468680</v>
      </c>
      <c r="T81" s="626"/>
      <c r="U81" s="636">
        <f t="shared" si="19"/>
        <v>23.6</v>
      </c>
      <c r="V81" s="634"/>
      <c r="W81" s="634"/>
      <c r="X81" s="902"/>
    </row>
    <row r="82" spans="1:26">
      <c r="A82" s="638"/>
      <c r="B82" s="655"/>
      <c r="C82" s="660" t="s">
        <v>725</v>
      </c>
      <c r="D82" s="659"/>
      <c r="E82" s="639"/>
      <c r="F82" s="640"/>
      <c r="G82" s="661"/>
      <c r="H82" s="661"/>
      <c r="I82" s="662"/>
      <c r="J82" s="629"/>
      <c r="K82" s="724">
        <f>SUBTOTAL(9,K67:K81)</f>
        <v>118469091</v>
      </c>
      <c r="L82" s="612"/>
      <c r="M82" s="663">
        <f>SUBTOTAL(9,M67:M81)</f>
        <v>35195642</v>
      </c>
      <c r="N82" s="664"/>
      <c r="O82" s="724">
        <f>SUBTOTAL(9,O67:O81)</f>
        <v>83273449</v>
      </c>
      <c r="P82" s="664"/>
      <c r="Q82" s="665">
        <f>ROUND(S82/K82*100,2)</f>
        <v>3.92</v>
      </c>
      <c r="R82" s="664"/>
      <c r="S82" s="663">
        <f>SUBTOTAL(9,S67:S81)</f>
        <v>4638862</v>
      </c>
      <c r="T82" s="666"/>
      <c r="U82" s="667">
        <f>+ROUND(O82/S82,1)</f>
        <v>18</v>
      </c>
      <c r="V82" s="663">
        <f>SUBTOTAL(9,V67:V81)</f>
        <v>97098</v>
      </c>
      <c r="W82" s="634">
        <f t="shared" ref="W82" si="20">+S82+V82</f>
        <v>4735960</v>
      </c>
      <c r="X82" s="902"/>
    </row>
    <row r="83" spans="1:26">
      <c r="A83" s="638"/>
      <c r="B83" s="655"/>
      <c r="C83" s="660"/>
      <c r="D83" s="659"/>
      <c r="E83" s="639"/>
      <c r="F83" s="640"/>
      <c r="G83" s="661"/>
      <c r="H83" s="661"/>
      <c r="I83" s="662"/>
      <c r="J83" s="629"/>
      <c r="K83" s="668"/>
      <c r="L83" s="612"/>
      <c r="M83" s="668"/>
      <c r="N83" s="664"/>
      <c r="O83" s="668"/>
      <c r="P83" s="664"/>
      <c r="Q83" s="635"/>
      <c r="R83" s="664"/>
      <c r="S83" s="668"/>
      <c r="T83" s="666"/>
      <c r="U83" s="636"/>
      <c r="V83" s="668"/>
      <c r="W83" s="668"/>
      <c r="X83" s="902"/>
    </row>
    <row r="84" spans="1:26">
      <c r="A84" s="638"/>
      <c r="B84" s="655">
        <v>390.2</v>
      </c>
      <c r="C84" s="659" t="s">
        <v>493</v>
      </c>
      <c r="D84" s="659"/>
      <c r="E84" s="639"/>
      <c r="F84" s="640"/>
      <c r="G84" s="661"/>
      <c r="H84" s="661"/>
      <c r="I84" s="662"/>
      <c r="J84" s="629"/>
      <c r="K84" s="668"/>
      <c r="L84" s="612"/>
      <c r="M84" s="668"/>
      <c r="N84" s="664"/>
      <c r="O84" s="668"/>
      <c r="P84" s="664"/>
      <c r="Q84" s="635"/>
      <c r="R84" s="664"/>
      <c r="S84" s="668"/>
      <c r="T84" s="666"/>
      <c r="U84" s="636"/>
      <c r="V84" s="668"/>
      <c r="W84" s="668"/>
      <c r="X84" s="902"/>
    </row>
    <row r="85" spans="1:26">
      <c r="A85" s="638"/>
      <c r="B85" s="657"/>
      <c r="C85" s="658" t="s">
        <v>726</v>
      </c>
      <c r="D85" s="659"/>
      <c r="E85" s="639">
        <v>43890</v>
      </c>
      <c r="F85" s="640"/>
      <c r="G85" s="669" t="s">
        <v>727</v>
      </c>
      <c r="H85" s="670"/>
      <c r="I85" s="579"/>
      <c r="J85" s="629"/>
      <c r="K85" s="721">
        <v>23466</v>
      </c>
      <c r="L85" s="623"/>
      <c r="M85" s="634">
        <v>23466</v>
      </c>
      <c r="N85" s="623"/>
      <c r="O85" s="721">
        <v>0</v>
      </c>
      <c r="P85" s="623"/>
      <c r="Q85" s="634">
        <v>0</v>
      </c>
      <c r="R85" s="623"/>
      <c r="S85" s="634">
        <v>0</v>
      </c>
      <c r="T85" s="626"/>
      <c r="U85" s="636">
        <f t="shared" ref="U85:U86" si="21">IF(S85=0,0,ROUND(O85/S85,1))</f>
        <v>0</v>
      </c>
      <c r="V85" s="634">
        <v>0</v>
      </c>
      <c r="W85" s="634">
        <f>+S85+V85</f>
        <v>0</v>
      </c>
      <c r="X85" s="902"/>
    </row>
    <row r="86" spans="1:26">
      <c r="A86" s="638"/>
      <c r="B86" s="657"/>
      <c r="C86" s="658" t="s">
        <v>728</v>
      </c>
      <c r="D86" s="659"/>
      <c r="E86" s="639">
        <v>44316</v>
      </c>
      <c r="F86" s="640"/>
      <c r="G86" s="669" t="s">
        <v>727</v>
      </c>
      <c r="H86" s="670"/>
      <c r="I86" s="579"/>
      <c r="J86" s="629"/>
      <c r="K86" s="721">
        <v>61661</v>
      </c>
      <c r="L86" s="623"/>
      <c r="M86" s="634">
        <v>54241</v>
      </c>
      <c r="N86" s="623"/>
      <c r="O86" s="721">
        <v>7420</v>
      </c>
      <c r="P86" s="623"/>
      <c r="Q86" s="634">
        <v>12.03</v>
      </c>
      <c r="R86" s="623"/>
      <c r="S86" s="634">
        <v>7420</v>
      </c>
      <c r="T86" s="626"/>
      <c r="U86" s="636">
        <f t="shared" si="21"/>
        <v>1</v>
      </c>
      <c r="V86" s="634"/>
      <c r="W86" s="634">
        <f>+S86+V86</f>
        <v>7420</v>
      </c>
      <c r="X86" s="902"/>
    </row>
    <row r="87" spans="1:26">
      <c r="A87" s="638"/>
      <c r="B87" s="655"/>
      <c r="C87" s="671" t="s">
        <v>729</v>
      </c>
      <c r="D87" s="659"/>
      <c r="E87" s="639"/>
      <c r="F87" s="640"/>
      <c r="G87" s="661"/>
      <c r="H87" s="661"/>
      <c r="I87" s="662"/>
      <c r="J87" s="629"/>
      <c r="K87" s="724">
        <f>SUBTOTAL(9,K85:K86)</f>
        <v>85127</v>
      </c>
      <c r="L87" s="612"/>
      <c r="M87" s="663">
        <f>SUBTOTAL(9,M85:M86)</f>
        <v>77707</v>
      </c>
      <c r="N87" s="664"/>
      <c r="O87" s="724">
        <f>SUBTOTAL(9,O85:O86)</f>
        <v>7420</v>
      </c>
      <c r="P87" s="664"/>
      <c r="Q87" s="665">
        <f>ROUND(S87/K87*100,2)</f>
        <v>8.7200000000000006</v>
      </c>
      <c r="R87" s="664"/>
      <c r="S87" s="663">
        <f>SUBTOTAL(9,S85:S86)</f>
        <v>7420</v>
      </c>
      <c r="T87" s="663">
        <f t="shared" ref="T87:W87" si="22">SUBTOTAL(9,T85:T86)</f>
        <v>0</v>
      </c>
      <c r="U87" s="663">
        <f t="shared" si="22"/>
        <v>1</v>
      </c>
      <c r="V87" s="663">
        <f t="shared" si="22"/>
        <v>0</v>
      </c>
      <c r="W87" s="663">
        <f t="shared" si="22"/>
        <v>7420</v>
      </c>
      <c r="X87" s="902"/>
      <c r="Z87" s="947">
        <f>+S82+S87+S132*0.9124-S154</f>
        <v>5525794.6412000004</v>
      </c>
    </row>
    <row r="88" spans="1:26">
      <c r="A88" s="638"/>
      <c r="B88" s="655"/>
      <c r="C88" s="659"/>
      <c r="D88" s="659"/>
      <c r="E88" s="639"/>
      <c r="F88" s="640"/>
      <c r="G88" s="661"/>
      <c r="H88" s="661"/>
      <c r="I88" s="662"/>
      <c r="J88" s="629"/>
      <c r="K88" s="668"/>
      <c r="L88" s="612"/>
      <c r="M88" s="668"/>
      <c r="N88" s="664"/>
      <c r="O88" s="668"/>
      <c r="P88" s="664"/>
      <c r="Q88" s="635"/>
      <c r="R88" s="664"/>
      <c r="S88" s="668"/>
      <c r="T88" s="666"/>
      <c r="U88" s="636"/>
      <c r="V88" s="668"/>
      <c r="W88" s="668"/>
      <c r="X88" s="902"/>
    </row>
    <row r="89" spans="1:26">
      <c r="A89" s="638"/>
      <c r="B89" s="672">
        <v>391.1</v>
      </c>
      <c r="C89" s="659" t="s">
        <v>494</v>
      </c>
      <c r="D89" s="659"/>
      <c r="E89" s="639" t="s">
        <v>662</v>
      </c>
      <c r="F89" s="640"/>
      <c r="G89" s="641">
        <v>20</v>
      </c>
      <c r="H89" s="642" t="s">
        <v>663</v>
      </c>
      <c r="I89" s="588" t="s">
        <v>709</v>
      </c>
      <c r="J89" s="629"/>
      <c r="K89" s="721">
        <v>5847700</v>
      </c>
      <c r="L89" s="623"/>
      <c r="M89" s="634">
        <v>1263514</v>
      </c>
      <c r="N89" s="623"/>
      <c r="O89" s="721">
        <v>4584186</v>
      </c>
      <c r="P89" s="623"/>
      <c r="Q89" s="634">
        <v>5.01</v>
      </c>
      <c r="R89" s="623"/>
      <c r="S89" s="634">
        <v>293054</v>
      </c>
      <c r="T89" s="626"/>
      <c r="U89" s="636">
        <f t="shared" ref="U89:U105" si="23">IF(S89=0,0,ROUND(O89/S89,1))</f>
        <v>15.6</v>
      </c>
      <c r="V89" s="634">
        <v>0</v>
      </c>
      <c r="W89" s="634">
        <f>+S89+V89</f>
        <v>293054</v>
      </c>
      <c r="X89" s="902">
        <v>16327</v>
      </c>
      <c r="Y89" s="905">
        <f>X89*1000</f>
        <v>16327000</v>
      </c>
    </row>
    <row r="90" spans="1:26">
      <c r="A90" s="638"/>
      <c r="B90" s="672">
        <v>391.2</v>
      </c>
      <c r="C90" s="659" t="s">
        <v>495</v>
      </c>
      <c r="D90" s="659"/>
      <c r="E90" s="639" t="s">
        <v>662</v>
      </c>
      <c r="F90" s="640"/>
      <c r="G90" s="641">
        <v>10</v>
      </c>
      <c r="H90" s="642" t="s">
        <v>663</v>
      </c>
      <c r="I90" s="588" t="s">
        <v>709</v>
      </c>
      <c r="J90" s="629"/>
      <c r="K90" s="721">
        <v>130716</v>
      </c>
      <c r="L90" s="623"/>
      <c r="M90" s="634">
        <v>80279</v>
      </c>
      <c r="N90" s="623"/>
      <c r="O90" s="721">
        <v>50437</v>
      </c>
      <c r="P90" s="623"/>
      <c r="Q90" s="634">
        <v>7.01</v>
      </c>
      <c r="R90" s="623"/>
      <c r="S90" s="634">
        <v>9158</v>
      </c>
      <c r="T90" s="626"/>
      <c r="U90" s="636">
        <f t="shared" si="23"/>
        <v>5.5</v>
      </c>
      <c r="V90" s="634">
        <v>0</v>
      </c>
      <c r="W90" s="634">
        <f t="shared" ref="W90:W104" si="24">+S90+V90</f>
        <v>9158</v>
      </c>
      <c r="X90" s="902"/>
    </row>
    <row r="91" spans="1:26">
      <c r="A91" s="638"/>
      <c r="B91" s="672">
        <v>391.3</v>
      </c>
      <c r="C91" s="673" t="s">
        <v>730</v>
      </c>
      <c r="D91" s="659"/>
      <c r="E91" s="639" t="s">
        <v>662</v>
      </c>
      <c r="F91" s="640"/>
      <c r="G91" s="641">
        <v>5</v>
      </c>
      <c r="H91" s="642" t="s">
        <v>663</v>
      </c>
      <c r="I91" s="588" t="s">
        <v>709</v>
      </c>
      <c r="J91" s="629"/>
      <c r="K91" s="721">
        <v>477479</v>
      </c>
      <c r="L91" s="623"/>
      <c r="M91" s="634">
        <v>438565</v>
      </c>
      <c r="N91" s="623"/>
      <c r="O91" s="721">
        <v>38914</v>
      </c>
      <c r="P91" s="623"/>
      <c r="Q91" s="634">
        <v>6.07</v>
      </c>
      <c r="R91" s="623"/>
      <c r="S91" s="634">
        <v>28969</v>
      </c>
      <c r="T91" s="626"/>
      <c r="U91" s="636">
        <f t="shared" si="23"/>
        <v>1.3</v>
      </c>
      <c r="V91" s="634">
        <v>0</v>
      </c>
      <c r="W91" s="634">
        <f t="shared" si="24"/>
        <v>28969</v>
      </c>
      <c r="X91" s="902"/>
    </row>
    <row r="92" spans="1:26">
      <c r="A92" s="638"/>
      <c r="B92" s="672">
        <v>391.4</v>
      </c>
      <c r="C92" s="673" t="s">
        <v>731</v>
      </c>
      <c r="D92" s="638"/>
      <c r="E92" s="639"/>
      <c r="F92" s="640"/>
      <c r="G92" s="641"/>
      <c r="H92" s="642"/>
      <c r="I92" s="588"/>
      <c r="J92" s="629"/>
      <c r="K92" s="721">
        <v>0</v>
      </c>
      <c r="L92" s="623"/>
      <c r="M92" s="634">
        <v>-23760</v>
      </c>
      <c r="N92" s="623"/>
      <c r="O92" s="721">
        <v>23760</v>
      </c>
      <c r="P92" s="623"/>
      <c r="Q92" s="634">
        <v>0</v>
      </c>
      <c r="R92" s="623"/>
      <c r="S92" s="634">
        <v>0</v>
      </c>
      <c r="T92" s="626"/>
      <c r="U92" s="636">
        <f t="shared" si="23"/>
        <v>0</v>
      </c>
      <c r="V92" s="634">
        <v>0</v>
      </c>
      <c r="W92" s="634">
        <f t="shared" si="24"/>
        <v>0</v>
      </c>
      <c r="X92" s="902"/>
      <c r="Z92" s="942">
        <f>SUM(S89:S92)+SUM(S134:S135)*0.9124+S149</f>
        <v>16326580.1292</v>
      </c>
    </row>
    <row r="93" spans="1:26">
      <c r="A93" s="638"/>
      <c r="B93" s="637">
        <v>392.1</v>
      </c>
      <c r="C93" s="673" t="s">
        <v>732</v>
      </c>
      <c r="D93" s="638"/>
      <c r="E93" s="639" t="s">
        <v>662</v>
      </c>
      <c r="F93" s="640"/>
      <c r="G93" s="641">
        <v>8</v>
      </c>
      <c r="H93" s="642" t="s">
        <v>663</v>
      </c>
      <c r="I93" s="588" t="s">
        <v>733</v>
      </c>
      <c r="J93" s="629"/>
      <c r="K93" s="721">
        <v>888137</v>
      </c>
      <c r="L93" s="623"/>
      <c r="M93" s="634">
        <v>108029</v>
      </c>
      <c r="N93" s="623"/>
      <c r="O93" s="721">
        <v>780108</v>
      </c>
      <c r="P93" s="623"/>
      <c r="Q93" s="634">
        <v>16.260000000000002</v>
      </c>
      <c r="R93" s="623"/>
      <c r="S93" s="634">
        <v>144453</v>
      </c>
      <c r="T93" s="626"/>
      <c r="U93" s="636">
        <f t="shared" si="23"/>
        <v>5.4</v>
      </c>
      <c r="V93" s="634">
        <v>-2526</v>
      </c>
      <c r="W93" s="634">
        <f t="shared" si="24"/>
        <v>141927</v>
      </c>
      <c r="X93" s="902">
        <v>4369</v>
      </c>
      <c r="Y93" s="905">
        <f>X93*1000</f>
        <v>4369000</v>
      </c>
    </row>
    <row r="94" spans="1:26">
      <c r="A94" s="638"/>
      <c r="B94" s="637">
        <v>392.2</v>
      </c>
      <c r="C94" s="673" t="s">
        <v>734</v>
      </c>
      <c r="D94" s="638"/>
      <c r="E94" s="639" t="s">
        <v>662</v>
      </c>
      <c r="F94" s="640"/>
      <c r="G94" s="641">
        <v>10</v>
      </c>
      <c r="H94" s="642" t="s">
        <v>663</v>
      </c>
      <c r="I94" s="588" t="s">
        <v>733</v>
      </c>
      <c r="J94" s="629"/>
      <c r="K94" s="721">
        <v>9718167</v>
      </c>
      <c r="L94" s="623"/>
      <c r="M94" s="634">
        <v>94455</v>
      </c>
      <c r="N94" s="623"/>
      <c r="O94" s="721">
        <v>9623712</v>
      </c>
      <c r="P94" s="623"/>
      <c r="Q94" s="634">
        <v>13.93</v>
      </c>
      <c r="R94" s="623"/>
      <c r="S94" s="634">
        <v>1354035</v>
      </c>
      <c r="T94" s="626"/>
      <c r="U94" s="636">
        <f t="shared" si="23"/>
        <v>7.1</v>
      </c>
      <c r="V94" s="634">
        <v>-49144</v>
      </c>
      <c r="W94" s="634">
        <f t="shared" si="24"/>
        <v>1304891</v>
      </c>
      <c r="X94" s="902"/>
    </row>
    <row r="95" spans="1:26">
      <c r="A95" s="638"/>
      <c r="B95" s="637">
        <v>392.3</v>
      </c>
      <c r="C95" s="638" t="s">
        <v>735</v>
      </c>
      <c r="D95" s="638"/>
      <c r="E95" s="639" t="s">
        <v>662</v>
      </c>
      <c r="F95" s="640"/>
      <c r="G95" s="641">
        <v>12</v>
      </c>
      <c r="H95" s="642" t="s">
        <v>663</v>
      </c>
      <c r="I95" s="588" t="s">
        <v>736</v>
      </c>
      <c r="J95" s="629"/>
      <c r="K95" s="721">
        <v>3989430</v>
      </c>
      <c r="L95" s="623"/>
      <c r="M95" s="634">
        <v>224108</v>
      </c>
      <c r="N95" s="623"/>
      <c r="O95" s="721">
        <v>3765322</v>
      </c>
      <c r="P95" s="623"/>
      <c r="Q95" s="634">
        <v>10.039999999999999</v>
      </c>
      <c r="R95" s="623"/>
      <c r="S95" s="634">
        <v>400647</v>
      </c>
      <c r="T95" s="626"/>
      <c r="U95" s="636">
        <f t="shared" si="23"/>
        <v>9.4</v>
      </c>
      <c r="V95" s="634">
        <v>-14938</v>
      </c>
      <c r="W95" s="634">
        <f t="shared" si="24"/>
        <v>385709</v>
      </c>
      <c r="X95" s="902"/>
    </row>
    <row r="96" spans="1:26">
      <c r="A96" s="638"/>
      <c r="B96" s="637">
        <v>392.4</v>
      </c>
      <c r="C96" s="638" t="s">
        <v>737</v>
      </c>
      <c r="D96" s="638"/>
      <c r="E96" s="639" t="s">
        <v>662</v>
      </c>
      <c r="F96" s="640"/>
      <c r="G96" s="641">
        <v>12</v>
      </c>
      <c r="H96" s="642" t="s">
        <v>663</v>
      </c>
      <c r="I96" s="588" t="s">
        <v>736</v>
      </c>
      <c r="J96" s="629"/>
      <c r="K96" s="721">
        <v>3343679</v>
      </c>
      <c r="L96" s="623"/>
      <c r="M96" s="634">
        <v>98793</v>
      </c>
      <c r="N96" s="623"/>
      <c r="O96" s="721">
        <v>3244886</v>
      </c>
      <c r="P96" s="623"/>
      <c r="Q96" s="634">
        <v>10.6</v>
      </c>
      <c r="R96" s="623"/>
      <c r="S96" s="634">
        <v>354424</v>
      </c>
      <c r="T96" s="626"/>
      <c r="U96" s="636">
        <f t="shared" si="23"/>
        <v>9.1999999999999993</v>
      </c>
      <c r="V96" s="634">
        <v>-16512</v>
      </c>
      <c r="W96" s="634">
        <f t="shared" si="24"/>
        <v>337912</v>
      </c>
      <c r="X96" s="902"/>
    </row>
    <row r="97" spans="1:26">
      <c r="A97" s="638"/>
      <c r="B97" s="637">
        <v>392.5</v>
      </c>
      <c r="C97" s="638" t="s">
        <v>738</v>
      </c>
      <c r="D97" s="638"/>
      <c r="E97" s="639" t="s">
        <v>662</v>
      </c>
      <c r="F97" s="640"/>
      <c r="G97" s="641">
        <v>15</v>
      </c>
      <c r="H97" s="642" t="s">
        <v>663</v>
      </c>
      <c r="I97" s="588" t="s">
        <v>739</v>
      </c>
      <c r="J97" s="629"/>
      <c r="K97" s="721">
        <v>2330053</v>
      </c>
      <c r="L97" s="623"/>
      <c r="M97" s="634">
        <v>795031</v>
      </c>
      <c r="N97" s="623"/>
      <c r="O97" s="721">
        <v>1535022</v>
      </c>
      <c r="P97" s="623"/>
      <c r="Q97" s="634">
        <v>6.86</v>
      </c>
      <c r="R97" s="623"/>
      <c r="S97" s="634">
        <v>159940</v>
      </c>
      <c r="T97" s="626"/>
      <c r="U97" s="636">
        <f t="shared" si="23"/>
        <v>9.6</v>
      </c>
      <c r="V97" s="634">
        <v>-1385</v>
      </c>
      <c r="W97" s="634">
        <f t="shared" si="24"/>
        <v>158555</v>
      </c>
      <c r="X97" s="902"/>
    </row>
    <row r="98" spans="1:26">
      <c r="A98" s="638"/>
      <c r="B98" s="880">
        <v>392.6</v>
      </c>
      <c r="C98" s="881" t="s">
        <v>791</v>
      </c>
      <c r="D98" s="638"/>
      <c r="E98" s="639"/>
      <c r="F98" s="640"/>
      <c r="G98" s="641"/>
      <c r="H98" s="642"/>
      <c r="I98" s="588"/>
      <c r="J98" s="629"/>
      <c r="K98" s="721">
        <v>7528474</v>
      </c>
      <c r="L98" s="623"/>
      <c r="M98" s="634">
        <v>5125519</v>
      </c>
      <c r="N98" s="623"/>
      <c r="O98" s="721">
        <v>2402955</v>
      </c>
      <c r="P98" s="623"/>
      <c r="Q98" s="634">
        <v>0</v>
      </c>
      <c r="R98" s="623"/>
      <c r="S98" s="634">
        <v>1955287</v>
      </c>
      <c r="T98" s="626"/>
      <c r="U98" s="636"/>
      <c r="V98" s="634"/>
      <c r="W98" s="634">
        <f t="shared" si="24"/>
        <v>1955287</v>
      </c>
      <c r="X98" s="902"/>
      <c r="Z98" s="942">
        <f>SUM(S93:S98)+S136*0.9124</f>
        <v>4369555.1531999996</v>
      </c>
    </row>
    <row r="99" spans="1:26">
      <c r="A99" s="638"/>
      <c r="B99" s="637">
        <v>393</v>
      </c>
      <c r="C99" s="638" t="s">
        <v>608</v>
      </c>
      <c r="D99" s="638"/>
      <c r="E99" s="639" t="s">
        <v>662</v>
      </c>
      <c r="F99" s="640"/>
      <c r="G99" s="641">
        <v>20</v>
      </c>
      <c r="H99" s="642" t="s">
        <v>663</v>
      </c>
      <c r="I99" s="588" t="s">
        <v>709</v>
      </c>
      <c r="J99" s="629"/>
      <c r="K99" s="721">
        <v>20723</v>
      </c>
      <c r="L99" s="623"/>
      <c r="M99" s="634">
        <v>7602</v>
      </c>
      <c r="N99" s="623"/>
      <c r="O99" s="721">
        <v>13121</v>
      </c>
      <c r="P99" s="623"/>
      <c r="Q99" s="634">
        <v>4.5599999999999996</v>
      </c>
      <c r="R99" s="623"/>
      <c r="S99" s="634">
        <v>946</v>
      </c>
      <c r="T99" s="626"/>
      <c r="U99" s="636">
        <f t="shared" si="23"/>
        <v>13.9</v>
      </c>
      <c r="V99" s="634">
        <v>0</v>
      </c>
      <c r="W99" s="634">
        <f t="shared" si="24"/>
        <v>946</v>
      </c>
      <c r="X99" s="902">
        <v>1</v>
      </c>
      <c r="Y99" s="905">
        <f t="shared" ref="Y99:Y105" si="25">X99*1000</f>
        <v>1000</v>
      </c>
      <c r="Z99" s="942">
        <f>+S99</f>
        <v>946</v>
      </c>
    </row>
    <row r="100" spans="1:26">
      <c r="A100" s="638"/>
      <c r="B100" s="637">
        <v>394</v>
      </c>
      <c r="C100" s="638" t="s">
        <v>497</v>
      </c>
      <c r="D100" s="638"/>
      <c r="E100" s="639" t="s">
        <v>662</v>
      </c>
      <c r="F100" s="640"/>
      <c r="G100" s="641">
        <v>20</v>
      </c>
      <c r="H100" s="642" t="s">
        <v>663</v>
      </c>
      <c r="I100" s="588" t="s">
        <v>709</v>
      </c>
      <c r="J100" s="629"/>
      <c r="K100" s="721">
        <v>27654224</v>
      </c>
      <c r="L100" s="623"/>
      <c r="M100" s="634">
        <v>10017919</v>
      </c>
      <c r="N100" s="623"/>
      <c r="O100" s="721">
        <v>17636305</v>
      </c>
      <c r="P100" s="623"/>
      <c r="Q100" s="634">
        <v>5.67</v>
      </c>
      <c r="R100" s="623"/>
      <c r="S100" s="634">
        <v>1567234</v>
      </c>
      <c r="T100" s="626"/>
      <c r="U100" s="636">
        <f t="shared" si="23"/>
        <v>11.3</v>
      </c>
      <c r="V100" s="634">
        <v>0</v>
      </c>
      <c r="W100" s="634">
        <f t="shared" si="24"/>
        <v>1567234</v>
      </c>
      <c r="X100" s="902">
        <v>1566</v>
      </c>
      <c r="Y100" s="905">
        <f t="shared" si="25"/>
        <v>1566000</v>
      </c>
      <c r="Z100" s="942">
        <f t="shared" ref="Z100:Z105" si="26">+S100</f>
        <v>1567234</v>
      </c>
    </row>
    <row r="101" spans="1:26">
      <c r="A101" s="638"/>
      <c r="B101" s="637">
        <v>395</v>
      </c>
      <c r="C101" s="638" t="s">
        <v>740</v>
      </c>
      <c r="D101" s="638"/>
      <c r="E101" s="639" t="s">
        <v>662</v>
      </c>
      <c r="F101" s="640"/>
      <c r="G101" s="641">
        <v>20</v>
      </c>
      <c r="H101" s="642" t="s">
        <v>663</v>
      </c>
      <c r="I101" s="588" t="s">
        <v>709</v>
      </c>
      <c r="J101" s="629"/>
      <c r="K101" s="721">
        <v>430463</v>
      </c>
      <c r="L101" s="623"/>
      <c r="M101" s="634">
        <v>67262</v>
      </c>
      <c r="N101" s="623"/>
      <c r="O101" s="721">
        <v>363201</v>
      </c>
      <c r="P101" s="623"/>
      <c r="Q101" s="634">
        <v>5.05</v>
      </c>
      <c r="R101" s="623"/>
      <c r="S101" s="634">
        <v>21719</v>
      </c>
      <c r="T101" s="626"/>
      <c r="U101" s="636">
        <f t="shared" si="23"/>
        <v>16.7</v>
      </c>
      <c r="V101" s="634">
        <v>0</v>
      </c>
      <c r="W101" s="634">
        <f t="shared" si="24"/>
        <v>21719</v>
      </c>
      <c r="X101" s="902">
        <v>21</v>
      </c>
      <c r="Y101" s="905">
        <f t="shared" si="25"/>
        <v>21000</v>
      </c>
      <c r="Z101" s="942">
        <f t="shared" si="26"/>
        <v>21719</v>
      </c>
    </row>
    <row r="102" spans="1:26">
      <c r="A102" s="638"/>
      <c r="B102" s="637">
        <v>396</v>
      </c>
      <c r="C102" s="638" t="s">
        <v>498</v>
      </c>
      <c r="D102" s="638"/>
      <c r="E102" s="639" t="s">
        <v>662</v>
      </c>
      <c r="F102" s="640"/>
      <c r="G102" s="641">
        <v>15</v>
      </c>
      <c r="H102" s="642" t="s">
        <v>663</v>
      </c>
      <c r="I102" s="588" t="s">
        <v>739</v>
      </c>
      <c r="J102" s="629"/>
      <c r="K102" s="721">
        <v>3367083</v>
      </c>
      <c r="L102" s="623"/>
      <c r="M102" s="634">
        <v>181545</v>
      </c>
      <c r="N102" s="623"/>
      <c r="O102" s="721">
        <v>3185538</v>
      </c>
      <c r="P102" s="623"/>
      <c r="Q102" s="634">
        <v>9.56</v>
      </c>
      <c r="R102" s="623"/>
      <c r="S102" s="634">
        <v>321765</v>
      </c>
      <c r="T102" s="626"/>
      <c r="U102" s="636">
        <f t="shared" si="23"/>
        <v>9.9</v>
      </c>
      <c r="V102" s="634">
        <v>-2344</v>
      </c>
      <c r="W102" s="634">
        <f t="shared" si="24"/>
        <v>319421</v>
      </c>
      <c r="X102" s="902">
        <v>322</v>
      </c>
      <c r="Y102" s="905">
        <f t="shared" si="25"/>
        <v>322000</v>
      </c>
      <c r="Z102" s="942">
        <f t="shared" si="26"/>
        <v>321765</v>
      </c>
    </row>
    <row r="103" spans="1:26">
      <c r="A103" s="638"/>
      <c r="B103" s="637">
        <v>397</v>
      </c>
      <c r="C103" s="638" t="s">
        <v>499</v>
      </c>
      <c r="D103" s="638"/>
      <c r="E103" s="639" t="s">
        <v>662</v>
      </c>
      <c r="F103" s="640"/>
      <c r="G103" s="641">
        <v>10</v>
      </c>
      <c r="H103" s="642" t="s">
        <v>663</v>
      </c>
      <c r="I103" s="588" t="s">
        <v>709</v>
      </c>
      <c r="J103" s="629"/>
      <c r="K103" s="721">
        <v>883004</v>
      </c>
      <c r="L103" s="623"/>
      <c r="M103" s="634">
        <v>285833</v>
      </c>
      <c r="N103" s="623"/>
      <c r="O103" s="721">
        <v>597171</v>
      </c>
      <c r="P103" s="623"/>
      <c r="Q103" s="634">
        <v>11.79</v>
      </c>
      <c r="R103" s="623"/>
      <c r="S103" s="634">
        <v>104148</v>
      </c>
      <c r="T103" s="626"/>
      <c r="U103" s="636">
        <f t="shared" si="23"/>
        <v>5.7</v>
      </c>
      <c r="V103" s="634">
        <v>0</v>
      </c>
      <c r="W103" s="634">
        <f t="shared" si="24"/>
        <v>104148</v>
      </c>
      <c r="X103" s="902">
        <v>104</v>
      </c>
      <c r="Y103" s="905">
        <f t="shared" si="25"/>
        <v>104000</v>
      </c>
      <c r="Z103" s="942">
        <f t="shared" si="26"/>
        <v>104148</v>
      </c>
    </row>
    <row r="104" spans="1:26">
      <c r="A104" s="638"/>
      <c r="B104" s="637">
        <v>398</v>
      </c>
      <c r="C104" s="638" t="s">
        <v>500</v>
      </c>
      <c r="D104" s="638"/>
      <c r="E104" s="639" t="s">
        <v>662</v>
      </c>
      <c r="F104" s="640"/>
      <c r="G104" s="641">
        <v>15</v>
      </c>
      <c r="H104" s="642" t="s">
        <v>663</v>
      </c>
      <c r="I104" s="588" t="s">
        <v>709</v>
      </c>
      <c r="J104" s="629"/>
      <c r="K104" s="721">
        <v>11015400</v>
      </c>
      <c r="L104" s="623"/>
      <c r="M104" s="634">
        <v>1962058</v>
      </c>
      <c r="N104" s="623"/>
      <c r="O104" s="721">
        <v>9053342</v>
      </c>
      <c r="P104" s="623"/>
      <c r="Q104" s="634">
        <v>6.45</v>
      </c>
      <c r="R104" s="623"/>
      <c r="S104" s="634">
        <v>710947</v>
      </c>
      <c r="T104" s="626"/>
      <c r="U104" s="636">
        <f t="shared" si="23"/>
        <v>12.7</v>
      </c>
      <c r="V104" s="634">
        <v>5835</v>
      </c>
      <c r="W104" s="634">
        <f t="shared" si="24"/>
        <v>716782</v>
      </c>
      <c r="X104" s="902">
        <v>712</v>
      </c>
      <c r="Y104" s="905">
        <f t="shared" si="25"/>
        <v>712000</v>
      </c>
      <c r="Z104" s="942">
        <f t="shared" si="26"/>
        <v>710947</v>
      </c>
    </row>
    <row r="105" spans="1:26">
      <c r="B105" s="674">
        <v>399</v>
      </c>
      <c r="C105" s="629" t="s">
        <v>741</v>
      </c>
      <c r="D105" s="638"/>
      <c r="E105" s="639"/>
      <c r="F105" s="640"/>
      <c r="G105" s="641"/>
      <c r="H105" s="642"/>
      <c r="I105" s="588"/>
      <c r="J105" s="629"/>
      <c r="K105" s="721">
        <v>0</v>
      </c>
      <c r="L105" s="623"/>
      <c r="M105" s="634">
        <v>0</v>
      </c>
      <c r="N105" s="623"/>
      <c r="O105" s="721">
        <v>0</v>
      </c>
      <c r="P105" s="623"/>
      <c r="Q105" s="634">
        <v>0</v>
      </c>
      <c r="R105" s="623"/>
      <c r="S105" s="634">
        <v>0</v>
      </c>
      <c r="T105" s="626"/>
      <c r="U105" s="636">
        <f t="shared" si="23"/>
        <v>0</v>
      </c>
      <c r="V105" s="634"/>
      <c r="W105" s="634">
        <f>+S105+V105</f>
        <v>0</v>
      </c>
      <c r="X105" s="902">
        <v>0</v>
      </c>
      <c r="Y105" s="905">
        <f t="shared" si="25"/>
        <v>0</v>
      </c>
      <c r="Z105" s="942">
        <f t="shared" si="26"/>
        <v>0</v>
      </c>
    </row>
    <row r="106" spans="1:26">
      <c r="B106" s="594" t="s">
        <v>501</v>
      </c>
      <c r="C106" s="638"/>
      <c r="D106" s="638"/>
      <c r="E106" s="622"/>
      <c r="F106" s="648"/>
      <c r="G106" s="588"/>
      <c r="H106" s="588"/>
      <c r="I106" s="588"/>
      <c r="J106" s="629"/>
      <c r="K106" s="722">
        <f>SUBTOTAL(9,K67:K105)</f>
        <v>196178950</v>
      </c>
      <c r="M106" s="643">
        <f>SUBTOTAL(9,M67:M105)</f>
        <v>56000101</v>
      </c>
      <c r="N106" s="21"/>
      <c r="O106" s="643">
        <f>SUBTOTAL(9,O67:O105)</f>
        <v>140178849</v>
      </c>
      <c r="P106" s="21"/>
      <c r="Q106" s="644">
        <f>ROUND(S106/K106*100,2)</f>
        <v>6.15</v>
      </c>
      <c r="R106" s="21"/>
      <c r="S106" s="643">
        <f>SUBTOTAL(9,S67:S105)</f>
        <v>12073008</v>
      </c>
      <c r="T106" s="643"/>
      <c r="U106" s="883">
        <f t="shared" ref="U106:V106" si="27">SUBTOTAL(9,U67:U105)</f>
        <v>443.7</v>
      </c>
      <c r="V106" s="643">
        <f t="shared" si="27"/>
        <v>16084</v>
      </c>
      <c r="W106" s="643">
        <f>SUBTOTAL(9,W67:W105)</f>
        <v>12089092</v>
      </c>
      <c r="X106" s="906">
        <f>SUM(X66:X105)</f>
        <v>28949</v>
      </c>
      <c r="Y106" s="906">
        <f>SUM(Y66:Y105)</f>
        <v>28949000</v>
      </c>
      <c r="Z106" s="906">
        <f>SUM(Z66:Z105)</f>
        <v>28948688.923600003</v>
      </c>
    </row>
    <row r="107" spans="1:26">
      <c r="A107" s="638"/>
      <c r="B107" s="638"/>
      <c r="C107" s="638"/>
      <c r="D107" s="638"/>
      <c r="E107" s="622"/>
      <c r="F107" s="648"/>
      <c r="G107" s="588"/>
      <c r="H107" s="588"/>
      <c r="I107" s="588"/>
      <c r="J107" s="629"/>
      <c r="K107" s="725"/>
      <c r="L107" s="676"/>
      <c r="M107" s="675"/>
      <c r="N107" s="252"/>
      <c r="O107" s="675"/>
      <c r="P107" s="252"/>
      <c r="Q107" s="677"/>
      <c r="R107" s="252"/>
      <c r="S107" s="675"/>
      <c r="T107" s="678"/>
      <c r="U107" s="679"/>
      <c r="V107" s="675"/>
      <c r="W107" s="675"/>
    </row>
    <row r="108" spans="1:26" ht="15.75" thickBot="1">
      <c r="B108" s="577" t="s">
        <v>502</v>
      </c>
      <c r="C108" s="680"/>
      <c r="D108" s="680"/>
      <c r="E108" s="622"/>
      <c r="F108" s="648"/>
      <c r="G108" s="588"/>
      <c r="H108" s="588"/>
      <c r="I108" s="588"/>
      <c r="J108" s="588"/>
      <c r="K108" s="726">
        <f>SUBTOTAL(9,K14:K107)</f>
        <v>3715240986</v>
      </c>
      <c r="M108" s="681">
        <f>SUBTOTAL(9,M14:M107)</f>
        <v>1026584239</v>
      </c>
      <c r="N108" s="21"/>
      <c r="O108" s="681">
        <f>SUBTOTAL(9,O14:O107)</f>
        <v>2688656747</v>
      </c>
      <c r="P108" s="21"/>
      <c r="Q108" s="644">
        <f>ROUND(S108/K108*100,2)</f>
        <v>2.2400000000000002</v>
      </c>
      <c r="R108" s="21"/>
      <c r="S108" s="681">
        <f>SUBTOTAL(9,S14:S107)</f>
        <v>83328214</v>
      </c>
      <c r="T108" s="681"/>
      <c r="U108" s="681">
        <f t="shared" ref="U108:W108" si="28">SUBTOTAL(9,U14:U107)</f>
        <v>1157.5000000000005</v>
      </c>
      <c r="V108" s="681">
        <f t="shared" si="28"/>
        <v>8877672</v>
      </c>
      <c r="W108" s="681">
        <f t="shared" si="28"/>
        <v>92205886</v>
      </c>
      <c r="X108" s="681">
        <f>X106+X63+X39+X29+X25</f>
        <v>100205</v>
      </c>
      <c r="Y108" s="681">
        <f>Y106+Y63+Y39+Y29+Y25</f>
        <v>100205000</v>
      </c>
    </row>
    <row r="109" spans="1:26" ht="15.75" thickTop="1">
      <c r="A109" s="680"/>
      <c r="B109" s="680"/>
      <c r="C109" s="680"/>
      <c r="D109" s="680"/>
      <c r="E109" s="588"/>
      <c r="F109" s="648"/>
      <c r="G109" s="588"/>
      <c r="H109" s="588"/>
      <c r="I109" s="588"/>
      <c r="J109" s="588"/>
      <c r="K109" s="344"/>
      <c r="M109" s="682"/>
      <c r="N109" s="21"/>
      <c r="O109" s="682"/>
      <c r="P109" s="21"/>
      <c r="Q109" s="651"/>
      <c r="R109" s="21"/>
      <c r="S109" s="683"/>
      <c r="T109" s="626"/>
      <c r="U109" s="652"/>
      <c r="V109" s="683"/>
      <c r="W109" s="683"/>
    </row>
    <row r="110" spans="1:26">
      <c r="B110" s="577" t="s">
        <v>503</v>
      </c>
      <c r="E110" s="588"/>
      <c r="F110" s="648"/>
      <c r="G110" s="588"/>
      <c r="H110" s="588"/>
      <c r="I110" s="588"/>
      <c r="M110" s="21"/>
      <c r="O110" s="21"/>
      <c r="Q110" s="651"/>
      <c r="U110" s="652"/>
      <c r="X110" s="905">
        <f>-X93-X100-X102-X103</f>
        <v>-6361</v>
      </c>
      <c r="Y110" s="905">
        <f>-Y93-Y100-Y102-Y103</f>
        <v>-6361000</v>
      </c>
    </row>
    <row r="111" spans="1:26">
      <c r="B111" s="674">
        <v>301</v>
      </c>
      <c r="C111" s="629" t="s">
        <v>609</v>
      </c>
      <c r="E111" s="588"/>
      <c r="F111" s="648"/>
      <c r="G111" s="588"/>
      <c r="H111" s="588"/>
      <c r="I111" s="588"/>
      <c r="K111" s="721">
        <v>166477</v>
      </c>
      <c r="L111" s="623"/>
      <c r="M111" s="634">
        <v>0</v>
      </c>
      <c r="N111" s="623"/>
      <c r="O111" s="634">
        <v>0</v>
      </c>
      <c r="P111" s="623"/>
      <c r="Q111" s="634">
        <v>0</v>
      </c>
      <c r="R111" s="623"/>
      <c r="S111" s="634">
        <v>0</v>
      </c>
      <c r="U111" s="652"/>
      <c r="V111" s="634">
        <f>+V106+V63+V39+V29+V25</f>
        <v>8877672</v>
      </c>
      <c r="W111" s="634"/>
    </row>
    <row r="112" spans="1:26">
      <c r="B112" s="674">
        <v>302</v>
      </c>
      <c r="C112" s="629" t="s">
        <v>742</v>
      </c>
      <c r="E112" s="588"/>
      <c r="F112" s="648"/>
      <c r="G112" s="588"/>
      <c r="H112" s="588"/>
      <c r="I112" s="588"/>
      <c r="K112" s="721">
        <v>193597</v>
      </c>
      <c r="L112" s="623"/>
      <c r="M112" s="634">
        <v>0</v>
      </c>
      <c r="N112" s="623"/>
      <c r="O112" s="634">
        <v>0</v>
      </c>
      <c r="P112" s="623"/>
      <c r="Q112" s="634">
        <v>0</v>
      </c>
      <c r="R112" s="623"/>
      <c r="S112" s="634">
        <v>0</v>
      </c>
      <c r="U112" s="652"/>
      <c r="V112" s="634"/>
      <c r="W112" s="634"/>
      <c r="X112" s="902">
        <v>8878</v>
      </c>
      <c r="Y112" s="902">
        <f>X112*1000</f>
        <v>8878000</v>
      </c>
      <c r="Z112" s="905"/>
    </row>
    <row r="113" spans="1:25">
      <c r="B113" s="674">
        <v>303</v>
      </c>
      <c r="C113" s="629" t="s">
        <v>743</v>
      </c>
      <c r="E113" s="588"/>
      <c r="F113" s="648"/>
      <c r="G113" s="588"/>
      <c r="H113" s="588"/>
      <c r="I113" s="588"/>
      <c r="K113" s="721">
        <v>289868</v>
      </c>
      <c r="L113" s="623"/>
      <c r="M113" s="634">
        <v>0</v>
      </c>
      <c r="N113" s="623"/>
      <c r="O113" s="634">
        <v>0</v>
      </c>
      <c r="P113" s="623"/>
      <c r="Q113" s="634">
        <v>0</v>
      </c>
      <c r="R113" s="623"/>
      <c r="S113" s="634">
        <v>0</v>
      </c>
      <c r="U113" s="652"/>
      <c r="V113" s="634"/>
      <c r="W113" s="634"/>
    </row>
    <row r="114" spans="1:25">
      <c r="B114" s="674">
        <v>304.10000000000002</v>
      </c>
      <c r="C114" s="629" t="s">
        <v>744</v>
      </c>
      <c r="E114" s="588"/>
      <c r="F114" s="648"/>
      <c r="G114" s="588"/>
      <c r="H114" s="588"/>
      <c r="I114" s="588"/>
      <c r="K114" s="721">
        <v>375198</v>
      </c>
      <c r="L114" s="623"/>
      <c r="M114" s="634">
        <v>0</v>
      </c>
      <c r="N114" s="623"/>
      <c r="O114" s="634">
        <v>0</v>
      </c>
      <c r="P114" s="623"/>
      <c r="Q114" s="634">
        <v>0</v>
      </c>
      <c r="R114" s="623"/>
      <c r="S114" s="634">
        <v>0</v>
      </c>
      <c r="U114" s="652"/>
      <c r="V114" s="634"/>
      <c r="W114" s="634"/>
      <c r="Y114" s="905">
        <f>Y112+Y110+Y108</f>
        <v>102722000</v>
      </c>
    </row>
    <row r="115" spans="1:25">
      <c r="B115" s="674">
        <v>304.2</v>
      </c>
      <c r="C115" s="629" t="s">
        <v>745</v>
      </c>
      <c r="E115" s="588"/>
      <c r="F115" s="648"/>
      <c r="G115" s="588"/>
      <c r="H115" s="588"/>
      <c r="I115" s="588"/>
      <c r="K115" s="721">
        <v>6454</v>
      </c>
      <c r="L115" s="623"/>
      <c r="M115" s="634">
        <v>0</v>
      </c>
      <c r="N115" s="623"/>
      <c r="O115" s="634">
        <v>0</v>
      </c>
      <c r="P115" s="623"/>
      <c r="Q115" s="634">
        <v>0</v>
      </c>
      <c r="R115" s="623"/>
      <c r="S115" s="634">
        <v>0</v>
      </c>
      <c r="U115" s="652"/>
      <c r="V115" s="634"/>
      <c r="W115" s="634"/>
    </row>
    <row r="116" spans="1:25">
      <c r="B116" s="674">
        <v>325.10000000000002</v>
      </c>
      <c r="C116" s="629" t="s">
        <v>746</v>
      </c>
      <c r="E116" s="588"/>
      <c r="F116" s="648"/>
      <c r="G116" s="588"/>
      <c r="H116" s="588"/>
      <c r="I116" s="588"/>
      <c r="K116" s="721">
        <v>13029</v>
      </c>
      <c r="L116" s="623"/>
      <c r="M116" s="634">
        <v>0</v>
      </c>
      <c r="N116" s="623"/>
      <c r="O116" s="634">
        <v>0</v>
      </c>
      <c r="P116" s="623"/>
      <c r="Q116" s="634">
        <v>0</v>
      </c>
      <c r="R116" s="623"/>
      <c r="S116" s="634">
        <v>0</v>
      </c>
      <c r="U116" s="652"/>
      <c r="V116" s="634"/>
      <c r="W116" s="634"/>
    </row>
    <row r="117" spans="1:25">
      <c r="B117" s="674">
        <v>325.5</v>
      </c>
      <c r="C117" s="629" t="s">
        <v>747</v>
      </c>
      <c r="E117" s="588"/>
      <c r="F117" s="648"/>
      <c r="G117" s="588"/>
      <c r="H117" s="588"/>
      <c r="I117" s="588"/>
      <c r="K117" s="721">
        <v>1134</v>
      </c>
      <c r="L117" s="623"/>
      <c r="M117" s="634">
        <v>0</v>
      </c>
      <c r="N117" s="623"/>
      <c r="O117" s="634">
        <v>0</v>
      </c>
      <c r="P117" s="623"/>
      <c r="Q117" s="634">
        <v>0</v>
      </c>
      <c r="R117" s="623"/>
      <c r="S117" s="634">
        <v>0</v>
      </c>
      <c r="U117" s="652"/>
      <c r="V117" s="634"/>
      <c r="W117" s="634"/>
    </row>
    <row r="118" spans="1:25">
      <c r="B118" s="674">
        <v>365.1</v>
      </c>
      <c r="C118" s="629" t="s">
        <v>610</v>
      </c>
      <c r="E118" s="588"/>
      <c r="F118" s="648"/>
      <c r="G118" s="588"/>
      <c r="H118" s="588"/>
      <c r="I118" s="588"/>
      <c r="K118" s="721">
        <v>47323</v>
      </c>
      <c r="L118" s="623"/>
      <c r="M118" s="634">
        <v>0</v>
      </c>
      <c r="N118" s="623"/>
      <c r="O118" s="634">
        <v>0</v>
      </c>
      <c r="P118" s="623"/>
      <c r="Q118" s="634">
        <v>0</v>
      </c>
      <c r="R118" s="623"/>
      <c r="S118" s="634">
        <v>0</v>
      </c>
      <c r="U118" s="652"/>
      <c r="V118" s="634"/>
      <c r="W118" s="634"/>
    </row>
    <row r="119" spans="1:25">
      <c r="B119" s="684">
        <v>374.1</v>
      </c>
      <c r="C119" s="629" t="s">
        <v>744</v>
      </c>
      <c r="E119" s="588"/>
      <c r="F119" s="648"/>
      <c r="G119" s="588"/>
      <c r="H119" s="588"/>
      <c r="I119" s="588"/>
      <c r="K119" s="721">
        <v>849347</v>
      </c>
      <c r="L119" s="623"/>
      <c r="M119" s="634">
        <v>0</v>
      </c>
      <c r="N119" s="623"/>
      <c r="O119" s="634">
        <v>0</v>
      </c>
      <c r="P119" s="623"/>
      <c r="Q119" s="634">
        <v>0</v>
      </c>
      <c r="R119" s="623"/>
      <c r="S119" s="634">
        <v>0</v>
      </c>
      <c r="U119" s="652"/>
      <c r="V119" s="634"/>
      <c r="W119" s="634"/>
    </row>
    <row r="120" spans="1:25">
      <c r="B120" s="684">
        <v>374.2</v>
      </c>
      <c r="C120" s="629" t="s">
        <v>745</v>
      </c>
      <c r="E120" s="588"/>
      <c r="F120" s="648"/>
      <c r="G120" s="588"/>
      <c r="H120" s="588"/>
      <c r="I120" s="588"/>
      <c r="K120" s="721">
        <v>6350735</v>
      </c>
      <c r="L120" s="623"/>
      <c r="M120" s="634">
        <v>0</v>
      </c>
      <c r="N120" s="623"/>
      <c r="O120" s="634">
        <v>0</v>
      </c>
      <c r="P120" s="623"/>
      <c r="Q120" s="634">
        <v>0</v>
      </c>
      <c r="R120" s="623"/>
      <c r="S120" s="634">
        <v>0</v>
      </c>
      <c r="U120" s="652"/>
      <c r="V120" s="634"/>
      <c r="W120" s="634"/>
    </row>
    <row r="121" spans="1:25">
      <c r="B121" s="674">
        <v>389.1</v>
      </c>
      <c r="C121" s="629" t="s">
        <v>744</v>
      </c>
      <c r="E121" s="588"/>
      <c r="F121" s="648"/>
      <c r="G121" s="588"/>
      <c r="H121" s="588"/>
      <c r="I121" s="588"/>
      <c r="K121" s="721">
        <v>3335876</v>
      </c>
      <c r="L121" s="623"/>
      <c r="M121" s="634">
        <v>0</v>
      </c>
      <c r="N121" s="623"/>
      <c r="O121" s="634">
        <v>0</v>
      </c>
      <c r="P121" s="623"/>
      <c r="Q121" s="634">
        <v>0</v>
      </c>
      <c r="R121" s="623"/>
      <c r="S121" s="634">
        <v>0</v>
      </c>
      <c r="U121" s="652"/>
      <c r="V121" s="634"/>
      <c r="W121" s="634"/>
    </row>
    <row r="122" spans="1:25">
      <c r="B122" s="674">
        <v>389.2</v>
      </c>
      <c r="C122" s="629" t="s">
        <v>745</v>
      </c>
      <c r="E122" s="588"/>
      <c r="F122" s="648"/>
      <c r="G122" s="588"/>
      <c r="H122" s="588"/>
      <c r="I122" s="588"/>
      <c r="K122" s="721">
        <v>1313</v>
      </c>
      <c r="L122" s="623"/>
      <c r="M122" s="634">
        <v>0</v>
      </c>
      <c r="N122" s="623"/>
      <c r="O122" s="634">
        <v>0</v>
      </c>
      <c r="P122" s="623"/>
      <c r="Q122" s="634">
        <v>0</v>
      </c>
      <c r="R122" s="623"/>
      <c r="S122" s="634">
        <v>0</v>
      </c>
      <c r="U122" s="652"/>
      <c r="V122" s="634"/>
      <c r="W122" s="634"/>
    </row>
    <row r="123" spans="1:25">
      <c r="B123" s="577" t="s">
        <v>504</v>
      </c>
      <c r="E123" s="588"/>
      <c r="F123" s="648"/>
      <c r="G123" s="588"/>
      <c r="H123" s="588"/>
      <c r="I123" s="588"/>
      <c r="K123" s="722">
        <f>SUBTOTAL(9,K111:K122)</f>
        <v>11630351</v>
      </c>
      <c r="M123" s="21"/>
      <c r="O123" s="21"/>
      <c r="Q123" s="651"/>
      <c r="U123" s="652"/>
    </row>
    <row r="124" spans="1:25">
      <c r="A124" s="577"/>
      <c r="E124" s="588"/>
      <c r="F124" s="648"/>
      <c r="G124" s="588"/>
      <c r="H124" s="588"/>
      <c r="I124" s="588"/>
      <c r="K124" s="685"/>
      <c r="M124" s="21"/>
      <c r="O124" s="21"/>
      <c r="Q124" s="651"/>
      <c r="U124" s="652"/>
    </row>
    <row r="125" spans="1:25" ht="15.75" thickBot="1">
      <c r="A125" s="577" t="s">
        <v>505</v>
      </c>
      <c r="E125" s="588"/>
      <c r="F125" s="648"/>
      <c r="G125" s="588"/>
      <c r="H125" s="588"/>
      <c r="I125" s="588"/>
      <c r="K125" s="726">
        <f>SUBTOTAL(9,K14:K124)</f>
        <v>3726871337</v>
      </c>
      <c r="M125" s="21"/>
      <c r="O125" s="21"/>
      <c r="Q125" s="651"/>
      <c r="U125" s="652"/>
    </row>
    <row r="126" spans="1:25" ht="15.75" thickTop="1">
      <c r="A126" s="577"/>
      <c r="E126" s="588"/>
      <c r="F126" s="648"/>
      <c r="G126" s="588"/>
      <c r="H126" s="588"/>
      <c r="I126" s="588"/>
      <c r="K126" s="86"/>
      <c r="M126" s="21"/>
      <c r="O126" s="21"/>
      <c r="Q126" s="651"/>
      <c r="U126" s="645"/>
    </row>
    <row r="127" spans="1:25">
      <c r="A127" s="686" t="s">
        <v>748</v>
      </c>
      <c r="B127" s="674"/>
      <c r="C127" s="680"/>
      <c r="D127" s="680"/>
      <c r="E127" s="588"/>
      <c r="F127" s="687"/>
      <c r="G127" s="684"/>
      <c r="H127" s="684"/>
      <c r="I127" s="588"/>
      <c r="J127" s="588"/>
      <c r="K127" s="1"/>
      <c r="L127" s="688"/>
      <c r="M127" s="592"/>
      <c r="N127" s="592"/>
      <c r="O127" s="592"/>
      <c r="P127" s="592"/>
      <c r="Q127" s="651"/>
      <c r="R127" s="592"/>
      <c r="S127" s="592"/>
      <c r="T127" s="689"/>
      <c r="U127" s="679"/>
      <c r="V127" s="592"/>
      <c r="W127" s="592"/>
    </row>
    <row r="128" spans="1:25">
      <c r="A128" s="577"/>
      <c r="B128" s="674"/>
      <c r="C128" s="680"/>
      <c r="D128" s="680"/>
      <c r="E128" s="588"/>
      <c r="F128" s="687"/>
      <c r="G128" s="684"/>
      <c r="H128" s="684"/>
      <c r="I128" s="588"/>
      <c r="J128" s="588"/>
      <c r="K128" s="1"/>
      <c r="L128" s="688"/>
      <c r="M128" s="592"/>
      <c r="N128" s="592"/>
      <c r="O128" s="592"/>
      <c r="P128" s="592"/>
      <c r="Q128" s="651"/>
      <c r="R128" s="592"/>
      <c r="S128" s="592"/>
      <c r="T128" s="689"/>
      <c r="U128" s="645"/>
      <c r="V128" s="592"/>
      <c r="W128" s="592"/>
    </row>
    <row r="129" spans="1:24">
      <c r="B129" s="577" t="s">
        <v>506</v>
      </c>
      <c r="C129" s="680"/>
      <c r="D129" s="680"/>
      <c r="E129" s="588"/>
      <c r="F129" s="687"/>
      <c r="G129" s="684"/>
      <c r="H129" s="684"/>
      <c r="I129" s="588"/>
      <c r="J129" s="588"/>
      <c r="K129" s="1"/>
      <c r="L129" s="688"/>
      <c r="M129" s="592"/>
      <c r="N129" s="592"/>
      <c r="O129" s="592"/>
      <c r="P129" s="592"/>
      <c r="Q129" s="646"/>
      <c r="R129" s="592"/>
      <c r="S129" s="592"/>
      <c r="T129" s="689"/>
      <c r="U129" s="645"/>
      <c r="V129" s="592"/>
      <c r="W129" s="592"/>
    </row>
    <row r="130" spans="1:24">
      <c r="A130" s="577"/>
      <c r="B130" s="674">
        <v>301</v>
      </c>
      <c r="C130" s="690" t="s">
        <v>507</v>
      </c>
      <c r="E130" s="639"/>
      <c r="F130" s="640"/>
      <c r="G130" s="641"/>
      <c r="H130" s="642"/>
      <c r="I130" s="588"/>
      <c r="J130" s="629"/>
      <c r="K130" s="733">
        <v>138964</v>
      </c>
      <c r="L130" s="723"/>
      <c r="M130" s="721">
        <v>0</v>
      </c>
      <c r="N130" s="723"/>
      <c r="O130" s="721">
        <v>0</v>
      </c>
      <c r="P130" s="623"/>
      <c r="Q130" s="634">
        <v>0</v>
      </c>
      <c r="R130" s="623"/>
      <c r="S130" s="634">
        <v>0</v>
      </c>
      <c r="T130" s="626"/>
      <c r="U130" s="652"/>
      <c r="V130" s="634"/>
      <c r="W130" s="634">
        <f>+S130+V130</f>
        <v>0</v>
      </c>
    </row>
    <row r="131" spans="1:24">
      <c r="A131" s="577"/>
      <c r="B131" s="692">
        <v>389.1</v>
      </c>
      <c r="C131" s="693" t="s">
        <v>749</v>
      </c>
      <c r="E131" s="639"/>
      <c r="F131" s="640"/>
      <c r="G131" s="641"/>
      <c r="H131" s="642"/>
      <c r="I131" s="588"/>
      <c r="J131" s="629"/>
      <c r="K131" s="733">
        <v>6947108</v>
      </c>
      <c r="L131" s="723"/>
      <c r="M131" s="721">
        <v>0</v>
      </c>
      <c r="N131" s="723"/>
      <c r="O131" s="721">
        <v>0</v>
      </c>
      <c r="P131" s="623"/>
      <c r="Q131" s="634">
        <v>0</v>
      </c>
      <c r="R131" s="623"/>
      <c r="S131" s="634">
        <v>0</v>
      </c>
      <c r="T131" s="626"/>
      <c r="U131" s="652"/>
      <c r="V131" s="634"/>
      <c r="W131" s="634">
        <f t="shared" ref="W131:W136" si="29">+S131+V131</f>
        <v>0</v>
      </c>
    </row>
    <row r="132" spans="1:24">
      <c r="A132" s="577"/>
      <c r="B132" s="674">
        <v>390.1</v>
      </c>
      <c r="C132" s="694" t="s">
        <v>488</v>
      </c>
      <c r="E132" s="639">
        <v>61759</v>
      </c>
      <c r="F132" s="640"/>
      <c r="G132" s="641">
        <v>70</v>
      </c>
      <c r="H132" s="642" t="s">
        <v>663</v>
      </c>
      <c r="I132" s="588" t="s">
        <v>666</v>
      </c>
      <c r="J132" s="629"/>
      <c r="K132" s="721">
        <v>31275000</v>
      </c>
      <c r="L132" s="723"/>
      <c r="M132" s="721">
        <v>1709179</v>
      </c>
      <c r="N132" s="723"/>
      <c r="O132" s="721">
        <v>29565821</v>
      </c>
      <c r="P132" s="623"/>
      <c r="Q132" s="634">
        <v>3.1</v>
      </c>
      <c r="R132" s="623"/>
      <c r="S132" s="634">
        <v>970963</v>
      </c>
      <c r="T132" s="626"/>
      <c r="U132" s="652">
        <v>30.4</v>
      </c>
      <c r="V132" s="634">
        <v>0</v>
      </c>
      <c r="W132" s="634">
        <f t="shared" si="29"/>
        <v>970963</v>
      </c>
    </row>
    <row r="133" spans="1:24">
      <c r="A133" s="695"/>
      <c r="B133" s="694">
        <v>390.2</v>
      </c>
      <c r="C133" s="694" t="s">
        <v>493</v>
      </c>
      <c r="E133" s="639"/>
      <c r="F133" s="687"/>
      <c r="G133" s="641"/>
      <c r="H133" s="642"/>
      <c r="I133" s="588"/>
      <c r="J133" s="629"/>
      <c r="K133" s="721">
        <v>0</v>
      </c>
      <c r="L133" s="723"/>
      <c r="M133" s="721">
        <v>-16137</v>
      </c>
      <c r="N133" s="723"/>
      <c r="O133" s="721">
        <v>16137</v>
      </c>
      <c r="P133" s="623"/>
      <c r="Q133" s="634">
        <v>0</v>
      </c>
      <c r="R133" s="623"/>
      <c r="S133" s="634">
        <v>0</v>
      </c>
      <c r="T133" s="626"/>
      <c r="U133" s="652"/>
      <c r="V133" s="634">
        <v>0</v>
      </c>
      <c r="W133" s="634">
        <f t="shared" si="29"/>
        <v>0</v>
      </c>
    </row>
    <row r="134" spans="1:24">
      <c r="A134" s="577"/>
      <c r="B134" s="674">
        <v>391</v>
      </c>
      <c r="C134" s="690" t="s">
        <v>494</v>
      </c>
      <c r="E134" s="639" t="s">
        <v>662</v>
      </c>
      <c r="F134" s="640"/>
      <c r="G134" s="641">
        <v>20</v>
      </c>
      <c r="H134" s="642" t="s">
        <v>663</v>
      </c>
      <c r="I134" s="588" t="s">
        <v>709</v>
      </c>
      <c r="J134" s="629"/>
      <c r="K134" s="721">
        <v>2765391</v>
      </c>
      <c r="L134" s="723"/>
      <c r="M134" s="721">
        <v>523160</v>
      </c>
      <c r="N134" s="723"/>
      <c r="O134" s="721">
        <v>2242231</v>
      </c>
      <c r="P134" s="623"/>
      <c r="Q134" s="634">
        <v>5.44</v>
      </c>
      <c r="R134" s="623"/>
      <c r="S134" s="634">
        <v>150477</v>
      </c>
      <c r="T134" s="626"/>
      <c r="U134" s="652">
        <v>14.9</v>
      </c>
      <c r="V134" s="634">
        <v>0</v>
      </c>
      <c r="W134" s="634">
        <f t="shared" si="29"/>
        <v>150477</v>
      </c>
    </row>
    <row r="135" spans="1:24">
      <c r="A135" s="577"/>
      <c r="B135" s="674">
        <v>391.1</v>
      </c>
      <c r="C135" s="690" t="s">
        <v>495</v>
      </c>
      <c r="E135" s="639" t="s">
        <v>662</v>
      </c>
      <c r="F135" s="640"/>
      <c r="G135" s="641">
        <v>5</v>
      </c>
      <c r="H135" s="642" t="s">
        <v>663</v>
      </c>
      <c r="I135" s="588" t="s">
        <v>709</v>
      </c>
      <c r="J135" s="629"/>
      <c r="K135" s="721">
        <v>2032397</v>
      </c>
      <c r="L135" s="723"/>
      <c r="M135" s="721">
        <v>901526</v>
      </c>
      <c r="N135" s="723"/>
      <c r="O135" s="721">
        <v>1130871</v>
      </c>
      <c r="P135" s="623"/>
      <c r="Q135" s="634">
        <v>15.9</v>
      </c>
      <c r="R135" s="623"/>
      <c r="S135" s="634">
        <v>323106</v>
      </c>
      <c r="T135" s="626"/>
      <c r="U135" s="652">
        <v>3.5</v>
      </c>
      <c r="V135" s="634">
        <v>0</v>
      </c>
      <c r="W135" s="634">
        <f t="shared" si="29"/>
        <v>323106</v>
      </c>
    </row>
    <row r="136" spans="1:24">
      <c r="A136" s="577"/>
      <c r="B136" s="674">
        <v>392.1</v>
      </c>
      <c r="C136" s="690" t="s">
        <v>496</v>
      </c>
      <c r="E136" s="639" t="s">
        <v>662</v>
      </c>
      <c r="F136" s="640"/>
      <c r="G136" s="641">
        <v>7</v>
      </c>
      <c r="H136" s="642" t="s">
        <v>663</v>
      </c>
      <c r="I136" s="588" t="s">
        <v>733</v>
      </c>
      <c r="J136" s="629"/>
      <c r="K136" s="721">
        <v>71637</v>
      </c>
      <c r="L136" s="723"/>
      <c r="M136" s="721">
        <v>69892</v>
      </c>
      <c r="N136" s="723"/>
      <c r="O136" s="721">
        <v>1745</v>
      </c>
      <c r="P136" s="623"/>
      <c r="Q136" s="634">
        <v>1.18</v>
      </c>
      <c r="R136" s="623"/>
      <c r="S136" s="634">
        <v>843</v>
      </c>
      <c r="T136" s="626"/>
      <c r="U136" s="652">
        <v>2.1</v>
      </c>
      <c r="V136" s="634">
        <v>0</v>
      </c>
      <c r="W136" s="634">
        <f t="shared" si="29"/>
        <v>843</v>
      </c>
    </row>
    <row r="137" spans="1:24">
      <c r="B137" s="577" t="s">
        <v>508</v>
      </c>
      <c r="C137" s="680"/>
      <c r="D137" s="680"/>
      <c r="E137" s="588"/>
      <c r="F137" s="687"/>
      <c r="G137" s="684"/>
      <c r="H137" s="684"/>
      <c r="I137" s="588"/>
      <c r="J137" s="588"/>
      <c r="K137" s="722">
        <f>SUBTOTAL(9,K130:K136)</f>
        <v>43230497</v>
      </c>
      <c r="L137" s="577"/>
      <c r="M137" s="722">
        <f>SUBTOTAL(9,M130:M136)</f>
        <v>3187620</v>
      </c>
      <c r="N137" s="86"/>
      <c r="O137" s="722">
        <f>SUBTOTAL(9,O130:O136)</f>
        <v>32956805</v>
      </c>
      <c r="P137" s="86"/>
      <c r="Q137" s="644">
        <f>IF(S137="","",ROUND(S137/(K137-K130),4)*100)</f>
        <v>3.35</v>
      </c>
      <c r="R137" s="86"/>
      <c r="S137" s="643">
        <f>SUBTOTAL(9,S130:S136)</f>
        <v>1445389</v>
      </c>
      <c r="T137" s="643"/>
      <c r="U137" s="882">
        <f t="shared" ref="U137:W137" si="30">SUBTOTAL(9,U130:U136)</f>
        <v>50.9</v>
      </c>
      <c r="V137" s="643">
        <f t="shared" si="30"/>
        <v>0</v>
      </c>
      <c r="W137" s="643">
        <f t="shared" si="30"/>
        <v>1445389</v>
      </c>
    </row>
    <row r="138" spans="1:24">
      <c r="B138" s="577"/>
      <c r="C138" s="680"/>
      <c r="D138" s="680"/>
      <c r="E138" s="588"/>
      <c r="F138" s="687"/>
      <c r="G138" s="684"/>
      <c r="H138" s="684"/>
      <c r="I138" s="588"/>
      <c r="J138" s="588"/>
      <c r="K138" s="697"/>
      <c r="L138" s="577"/>
      <c r="M138" s="697"/>
      <c r="N138" s="86"/>
      <c r="O138" s="697"/>
      <c r="P138" s="86"/>
      <c r="Q138" s="644"/>
      <c r="R138" s="86"/>
      <c r="S138" s="697"/>
      <c r="T138" s="577"/>
      <c r="U138" s="696"/>
      <c r="V138" s="697"/>
      <c r="W138" s="697"/>
      <c r="X138" s="942"/>
    </row>
    <row r="139" spans="1:24">
      <c r="B139" s="698" t="s">
        <v>799</v>
      </c>
      <c r="C139" s="547"/>
      <c r="D139" s="680"/>
      <c r="E139" s="588"/>
      <c r="F139" s="687"/>
      <c r="G139" s="684"/>
      <c r="H139" s="684"/>
      <c r="I139" s="588"/>
      <c r="J139" s="588"/>
      <c r="K139" s="727">
        <v>39443506</v>
      </c>
      <c r="L139" s="727"/>
      <c r="M139" s="727">
        <v>2908385</v>
      </c>
      <c r="N139" s="727"/>
      <c r="O139" s="727">
        <v>30069788</v>
      </c>
      <c r="P139" s="699"/>
      <c r="Q139" s="700"/>
      <c r="R139" s="699"/>
      <c r="S139" s="727">
        <v>1318773</v>
      </c>
      <c r="T139" s="577"/>
      <c r="U139" s="696"/>
      <c r="V139" s="699"/>
      <c r="W139" s="699">
        <f>+W137*0.9124</f>
        <v>1318772.9236000001</v>
      </c>
    </row>
    <row r="140" spans="1:24">
      <c r="A140" s="577"/>
      <c r="B140" s="684"/>
      <c r="C140" s="588"/>
      <c r="D140" s="680"/>
      <c r="E140" s="588"/>
      <c r="F140" s="687"/>
      <c r="G140" s="684"/>
      <c r="H140" s="684"/>
      <c r="I140" s="588"/>
      <c r="J140" s="588"/>
      <c r="K140" s="1"/>
      <c r="L140" s="688"/>
      <c r="M140" s="34"/>
      <c r="N140" s="34"/>
      <c r="O140" s="34"/>
      <c r="P140" s="592"/>
      <c r="Q140" s="646"/>
      <c r="R140" s="592"/>
      <c r="S140" s="592"/>
      <c r="T140" s="689"/>
      <c r="U140" s="626"/>
      <c r="V140" s="592"/>
      <c r="W140" s="592"/>
    </row>
    <row r="141" spans="1:24">
      <c r="B141" s="698" t="s">
        <v>509</v>
      </c>
      <c r="C141" s="588"/>
      <c r="D141" s="680"/>
      <c r="E141" s="588"/>
      <c r="F141" s="687"/>
      <c r="G141" s="684"/>
      <c r="H141" s="684"/>
      <c r="I141" s="588"/>
      <c r="J141" s="588"/>
      <c r="K141" s="1"/>
      <c r="L141" s="688"/>
      <c r="M141" s="34"/>
      <c r="N141" s="34"/>
      <c r="O141" s="34"/>
      <c r="P141" s="592"/>
      <c r="Q141" s="646"/>
      <c r="R141" s="592"/>
      <c r="S141" s="592"/>
      <c r="T141" s="689"/>
      <c r="U141" s="626"/>
      <c r="V141" s="592"/>
      <c r="W141" s="592"/>
    </row>
    <row r="142" spans="1:24">
      <c r="A142" s="577"/>
      <c r="B142" s="692">
        <v>391</v>
      </c>
      <c r="C142" s="701" t="s">
        <v>494</v>
      </c>
      <c r="E142" s="639" t="s">
        <v>662</v>
      </c>
      <c r="F142" s="640"/>
      <c r="G142" s="641">
        <v>20</v>
      </c>
      <c r="H142" s="642" t="s">
        <v>663</v>
      </c>
      <c r="I142" s="588" t="s">
        <v>709</v>
      </c>
      <c r="J142" s="629"/>
      <c r="K142" s="721">
        <v>40606</v>
      </c>
      <c r="L142" s="723"/>
      <c r="M142" s="721">
        <v>35408</v>
      </c>
      <c r="N142" s="723"/>
      <c r="O142" s="721">
        <v>5198</v>
      </c>
      <c r="P142" s="623"/>
      <c r="Q142" s="634">
        <v>5</v>
      </c>
      <c r="R142" s="623"/>
      <c r="S142" s="634">
        <v>2031</v>
      </c>
      <c r="T142" s="626"/>
      <c r="U142" s="652">
        <v>2.6</v>
      </c>
      <c r="V142" s="634">
        <v>0</v>
      </c>
      <c r="W142" s="634">
        <f>+S142+V142</f>
        <v>2031</v>
      </c>
    </row>
    <row r="143" spans="1:24">
      <c r="A143" s="577"/>
      <c r="B143" s="692">
        <v>391.1</v>
      </c>
      <c r="C143" s="701" t="s">
        <v>495</v>
      </c>
      <c r="E143" s="639" t="s">
        <v>662</v>
      </c>
      <c r="F143" s="640"/>
      <c r="G143" s="641">
        <v>5</v>
      </c>
      <c r="H143" s="642" t="s">
        <v>663</v>
      </c>
      <c r="I143" s="588" t="s">
        <v>709</v>
      </c>
      <c r="J143" s="629"/>
      <c r="K143" s="721">
        <v>9044476</v>
      </c>
      <c r="L143" s="723"/>
      <c r="M143" s="721">
        <v>6203777</v>
      </c>
      <c r="N143" s="723"/>
      <c r="O143" s="721">
        <v>2840699</v>
      </c>
      <c r="P143" s="623"/>
      <c r="Q143" s="634">
        <v>18.64</v>
      </c>
      <c r="R143" s="623"/>
      <c r="S143" s="634">
        <v>1685977</v>
      </c>
      <c r="T143" s="626"/>
      <c r="U143" s="652">
        <v>1.7</v>
      </c>
      <c r="V143" s="634">
        <v>0</v>
      </c>
      <c r="W143" s="634">
        <f t="shared" ref="W143:W146" si="31">+S143+V143</f>
        <v>1685977</v>
      </c>
    </row>
    <row r="144" spans="1:24">
      <c r="A144" s="577"/>
      <c r="B144" s="884">
        <v>391.2</v>
      </c>
      <c r="C144" s="885" t="s">
        <v>792</v>
      </c>
      <c r="D144" s="886"/>
      <c r="E144" s="887" t="s">
        <v>662</v>
      </c>
      <c r="F144" s="888"/>
      <c r="G144" s="889">
        <v>5</v>
      </c>
      <c r="H144" s="890" t="s">
        <v>663</v>
      </c>
      <c r="I144" s="891" t="s">
        <v>709</v>
      </c>
      <c r="J144" s="629"/>
      <c r="K144" s="721">
        <v>8400000</v>
      </c>
      <c r="L144" s="723"/>
      <c r="M144" s="721">
        <v>2520000</v>
      </c>
      <c r="N144" s="723"/>
      <c r="O144" s="721">
        <v>5880000</v>
      </c>
      <c r="P144" s="623"/>
      <c r="Q144" s="634">
        <v>20</v>
      </c>
      <c r="R144" s="623"/>
      <c r="S144" s="634">
        <v>1680000</v>
      </c>
      <c r="T144" s="626"/>
      <c r="U144" s="652">
        <v>3.5</v>
      </c>
      <c r="V144" s="634">
        <v>0</v>
      </c>
      <c r="W144" s="634">
        <f t="shared" si="31"/>
        <v>1680000</v>
      </c>
    </row>
    <row r="145" spans="1:24">
      <c r="A145" s="695"/>
      <c r="B145" s="692">
        <v>391.3</v>
      </c>
      <c r="C145" s="547" t="s">
        <v>611</v>
      </c>
      <c r="D145" s="623"/>
      <c r="E145" s="639" t="s">
        <v>662</v>
      </c>
      <c r="F145" s="640"/>
      <c r="G145" s="641">
        <v>10</v>
      </c>
      <c r="H145" s="642" t="s">
        <v>663</v>
      </c>
      <c r="I145" s="588" t="s">
        <v>709</v>
      </c>
      <c r="J145" s="629"/>
      <c r="K145" s="721">
        <v>33466335</v>
      </c>
      <c r="L145" s="723"/>
      <c r="M145" s="721">
        <v>7872647</v>
      </c>
      <c r="N145" s="723"/>
      <c r="O145" s="721">
        <v>25593688</v>
      </c>
      <c r="P145" s="623"/>
      <c r="Q145" s="634">
        <v>10.119999999999999</v>
      </c>
      <c r="R145" s="623"/>
      <c r="S145" s="634">
        <v>3385653</v>
      </c>
      <c r="T145" s="626"/>
      <c r="U145" s="652">
        <v>7.6</v>
      </c>
      <c r="V145" s="634">
        <v>0</v>
      </c>
      <c r="W145" s="634">
        <f t="shared" si="31"/>
        <v>3385653</v>
      </c>
    </row>
    <row r="146" spans="1:24">
      <c r="A146" s="577"/>
      <c r="B146" s="692">
        <v>391.4</v>
      </c>
      <c r="C146" s="547" t="s">
        <v>750</v>
      </c>
      <c r="E146" s="639" t="s">
        <v>662</v>
      </c>
      <c r="F146" s="640"/>
      <c r="G146" s="641">
        <v>15</v>
      </c>
      <c r="H146" s="642" t="s">
        <v>663</v>
      </c>
      <c r="I146" s="588" t="s">
        <v>709</v>
      </c>
      <c r="J146" s="629"/>
      <c r="K146" s="721">
        <v>150613447</v>
      </c>
      <c r="L146" s="723"/>
      <c r="M146" s="721">
        <v>30817424</v>
      </c>
      <c r="N146" s="723"/>
      <c r="O146" s="721">
        <v>119796023</v>
      </c>
      <c r="P146" s="623"/>
      <c r="Q146" s="634">
        <v>6.78</v>
      </c>
      <c r="R146" s="623"/>
      <c r="S146" s="634">
        <v>10214614</v>
      </c>
      <c r="T146" s="626"/>
      <c r="U146" s="652">
        <v>11.7</v>
      </c>
      <c r="V146" s="634">
        <v>0</v>
      </c>
      <c r="W146" s="634">
        <f t="shared" si="31"/>
        <v>10214614</v>
      </c>
    </row>
    <row r="147" spans="1:24">
      <c r="B147" s="698" t="s">
        <v>510</v>
      </c>
      <c r="C147" s="588"/>
      <c r="D147" s="680"/>
      <c r="E147" s="588"/>
      <c r="F147" s="687"/>
      <c r="G147" s="684"/>
      <c r="H147" s="684"/>
      <c r="I147" s="588"/>
      <c r="J147" s="588"/>
      <c r="K147" s="722">
        <f>SUBTOTAL(9,K142:K146)</f>
        <v>201564864</v>
      </c>
      <c r="L147" s="577"/>
      <c r="M147" s="722">
        <f>SUBTOTAL(9,M142:M146)</f>
        <v>47449256</v>
      </c>
      <c r="N147" s="86"/>
      <c r="O147" s="722">
        <f>SUBTOTAL(9,O142:O146)</f>
        <v>154115608</v>
      </c>
      <c r="P147" s="86"/>
      <c r="Q147" s="644">
        <f>IF(S147="","",ROUND(S147/K147,4)*100)</f>
        <v>8.42</v>
      </c>
      <c r="R147" s="86"/>
      <c r="S147" s="643">
        <f>SUBTOTAL(9,S142:S146)</f>
        <v>16968275</v>
      </c>
      <c r="T147" s="643"/>
      <c r="U147" s="882">
        <f t="shared" ref="U147:W147" si="32">SUBTOTAL(9,U142:U146)</f>
        <v>27.099999999999998</v>
      </c>
      <c r="V147" s="643">
        <f t="shared" si="32"/>
        <v>0</v>
      </c>
      <c r="W147" s="643">
        <f t="shared" si="32"/>
        <v>16968275</v>
      </c>
    </row>
    <row r="148" spans="1:24">
      <c r="A148" s="577"/>
      <c r="B148" s="684"/>
      <c r="C148" s="588"/>
      <c r="D148" s="680"/>
      <c r="E148" s="588"/>
      <c r="F148" s="687"/>
      <c r="G148" s="684"/>
      <c r="H148" s="684"/>
      <c r="I148" s="588"/>
      <c r="J148" s="588"/>
      <c r="K148" s="144"/>
      <c r="L148" s="36"/>
      <c r="M148" s="144"/>
      <c r="N148" s="144"/>
      <c r="O148" s="144"/>
      <c r="P148" s="702"/>
      <c r="Q148" s="703"/>
      <c r="R148" s="702"/>
      <c r="S148" s="702"/>
      <c r="T148" s="702"/>
      <c r="U148" s="702"/>
      <c r="V148" s="702"/>
      <c r="W148" s="702"/>
      <c r="X148" s="942"/>
    </row>
    <row r="149" spans="1:24">
      <c r="A149" s="577"/>
      <c r="B149" s="698" t="s">
        <v>800</v>
      </c>
      <c r="C149" s="547"/>
      <c r="D149" s="680"/>
      <c r="E149" s="588"/>
      <c r="F149" s="687"/>
      <c r="G149" s="684"/>
      <c r="H149" s="684"/>
      <c r="I149" s="641"/>
      <c r="J149" s="684"/>
      <c r="K149" s="727">
        <v>184875292</v>
      </c>
      <c r="L149" s="704"/>
      <c r="M149" s="727">
        <v>43520458</v>
      </c>
      <c r="N149" s="697"/>
      <c r="O149" s="727">
        <v>141354836</v>
      </c>
      <c r="P149" s="697"/>
      <c r="Q149" s="705"/>
      <c r="R149" s="697"/>
      <c r="S149" s="727">
        <v>15563302</v>
      </c>
      <c r="T149" s="699"/>
      <c r="U149" s="727">
        <v>0</v>
      </c>
      <c r="V149" s="727">
        <v>0</v>
      </c>
      <c r="W149" s="699">
        <f>+W147*0.9172</f>
        <v>15563301.83</v>
      </c>
    </row>
    <row r="150" spans="1:24">
      <c r="A150" s="577"/>
      <c r="B150" s="623"/>
      <c r="C150" s="623"/>
      <c r="E150" s="588"/>
      <c r="F150" s="648"/>
      <c r="G150" s="588"/>
      <c r="H150" s="588"/>
      <c r="I150" s="588"/>
      <c r="K150" s="86"/>
      <c r="L150" s="577"/>
      <c r="M150" s="697"/>
      <c r="N150" s="86"/>
      <c r="O150" s="697"/>
      <c r="P150" s="86"/>
      <c r="Q150" s="646"/>
      <c r="R150" s="86"/>
      <c r="S150" s="697"/>
      <c r="T150" s="577"/>
      <c r="U150" s="706"/>
      <c r="V150" s="697"/>
      <c r="W150" s="697"/>
      <c r="X150" s="942"/>
    </row>
    <row r="151" spans="1:24">
      <c r="A151" s="577"/>
      <c r="B151" s="698" t="s">
        <v>751</v>
      </c>
      <c r="C151" s="612"/>
      <c r="E151" s="588"/>
      <c r="F151" s="648"/>
      <c r="G151" s="588"/>
      <c r="H151" s="588"/>
      <c r="I151" s="588"/>
      <c r="K151" s="728"/>
      <c r="L151" s="577"/>
      <c r="M151" s="697"/>
      <c r="N151" s="86"/>
      <c r="O151" s="697"/>
      <c r="P151" s="86"/>
      <c r="Q151" s="646"/>
      <c r="R151" s="86"/>
      <c r="S151" s="697"/>
      <c r="T151" s="577"/>
      <c r="U151" s="706"/>
      <c r="V151" s="697"/>
      <c r="W151" s="697"/>
    </row>
    <row r="152" spans="1:24">
      <c r="A152" s="577"/>
      <c r="B152" s="672">
        <v>390.1</v>
      </c>
      <c r="C152" s="659" t="s">
        <v>488</v>
      </c>
      <c r="D152" s="623"/>
      <c r="E152" s="639">
        <v>47664</v>
      </c>
      <c r="F152" s="640"/>
      <c r="G152" s="641">
        <v>80</v>
      </c>
      <c r="H152" s="642" t="s">
        <v>663</v>
      </c>
      <c r="I152" s="588" t="s">
        <v>711</v>
      </c>
      <c r="J152" s="629"/>
      <c r="K152" s="721">
        <v>2013971</v>
      </c>
      <c r="L152" s="723"/>
      <c r="M152" s="721">
        <v>1399314</v>
      </c>
      <c r="N152" s="723"/>
      <c r="O152" s="728">
        <v>614657</v>
      </c>
      <c r="P152" s="623"/>
      <c r="Q152" s="634">
        <v>3.21</v>
      </c>
      <c r="R152" s="623"/>
      <c r="S152" s="634">
        <v>64722</v>
      </c>
      <c r="T152" s="626"/>
      <c r="U152" s="652">
        <v>9.5</v>
      </c>
      <c r="V152" s="634"/>
      <c r="W152" s="634">
        <f>+S152+V152</f>
        <v>64722</v>
      </c>
    </row>
    <row r="153" spans="1:24">
      <c r="A153" s="577"/>
      <c r="B153" s="707"/>
      <c r="C153" s="659"/>
      <c r="E153" s="639"/>
      <c r="F153" s="648"/>
      <c r="G153" s="641"/>
      <c r="H153" s="642"/>
      <c r="I153" s="588"/>
      <c r="J153" s="629"/>
      <c r="K153" s="728"/>
      <c r="L153" s="423"/>
      <c r="M153" s="728"/>
      <c r="N153" s="734"/>
      <c r="O153" s="187"/>
      <c r="P153" s="21"/>
      <c r="Q153" s="646"/>
      <c r="R153" s="21"/>
      <c r="S153" s="691"/>
      <c r="T153" s="626"/>
      <c r="U153" s="652"/>
      <c r="V153" s="691"/>
      <c r="W153" s="634">
        <f t="shared" ref="W153:W155" si="33">+S153+V153</f>
        <v>0</v>
      </c>
    </row>
    <row r="154" spans="1:24">
      <c r="A154" s="577"/>
      <c r="B154" s="698" t="s">
        <v>752</v>
      </c>
      <c r="C154" s="659"/>
      <c r="E154" s="639"/>
      <c r="F154" s="648"/>
      <c r="G154" s="641"/>
      <c r="H154" s="642"/>
      <c r="I154" s="588"/>
      <c r="J154" s="629"/>
      <c r="K154" s="721">
        <v>198980</v>
      </c>
      <c r="L154" s="723"/>
      <c r="M154" s="721">
        <v>138252</v>
      </c>
      <c r="N154" s="723"/>
      <c r="O154" s="721">
        <v>60728</v>
      </c>
      <c r="P154" s="623"/>
      <c r="Q154" s="634">
        <v>0</v>
      </c>
      <c r="R154" s="623"/>
      <c r="S154" s="634">
        <v>6394</v>
      </c>
      <c r="T154" s="626"/>
      <c r="U154" s="652"/>
      <c r="V154" s="634"/>
      <c r="W154" s="634">
        <f t="shared" si="33"/>
        <v>6394</v>
      </c>
    </row>
    <row r="155" spans="1:24">
      <c r="B155" s="698"/>
      <c r="C155" s="659"/>
      <c r="K155" s="728"/>
      <c r="L155" s="423"/>
      <c r="M155" s="728"/>
      <c r="N155" s="75"/>
      <c r="O155" s="728"/>
      <c r="Q155" s="646"/>
      <c r="S155" s="691"/>
      <c r="U155" s="650"/>
      <c r="V155" s="691"/>
      <c r="W155" s="634">
        <f t="shared" si="33"/>
        <v>0</v>
      </c>
    </row>
    <row r="156" spans="1:24">
      <c r="A156" s="698" t="s">
        <v>801</v>
      </c>
      <c r="B156" s="623"/>
      <c r="C156" s="623"/>
      <c r="K156" s="708">
        <f>K139+K149-K154</f>
        <v>224119818</v>
      </c>
      <c r="L156" s="709"/>
      <c r="M156" s="708">
        <f>M139+M149-M154</f>
        <v>46290591</v>
      </c>
      <c r="N156" s="709"/>
      <c r="O156" s="708">
        <f>O139+O149-O154</f>
        <v>171363896</v>
      </c>
      <c r="P156" s="709"/>
      <c r="Q156" s="644"/>
      <c r="R156" s="709"/>
      <c r="S156" s="708">
        <f>S139+S149-S154</f>
        <v>16875681</v>
      </c>
      <c r="U156" s="650"/>
      <c r="V156" s="708"/>
      <c r="W156" s="708">
        <f>W139+W149-W154</f>
        <v>16875680.753600001</v>
      </c>
    </row>
    <row r="157" spans="1:24">
      <c r="A157" s="698"/>
      <c r="K157" s="729"/>
      <c r="L157" s="699"/>
      <c r="M157" s="710"/>
      <c r="N157" s="699"/>
      <c r="O157" s="710"/>
      <c r="P157" s="699"/>
      <c r="Q157" s="700"/>
      <c r="R157" s="699"/>
      <c r="S157" s="710"/>
      <c r="U157" s="650"/>
      <c r="V157" s="710"/>
      <c r="W157" s="710"/>
    </row>
    <row r="158" spans="1:24" ht="15.75" thickBot="1">
      <c r="A158" s="577" t="s">
        <v>511</v>
      </c>
      <c r="K158" s="711">
        <f>K108+K123+K156</f>
        <v>3950991155</v>
      </c>
      <c r="L158" s="699"/>
      <c r="M158" s="711">
        <f>M108+M123+M156</f>
        <v>1072874830</v>
      </c>
      <c r="N158" s="699"/>
      <c r="O158" s="711">
        <f>O108+O123+O156</f>
        <v>2860020643</v>
      </c>
      <c r="P158" s="699"/>
      <c r="Q158" s="700"/>
      <c r="R158" s="699"/>
      <c r="S158" s="711">
        <f>S108+S123+S156</f>
        <v>100203895</v>
      </c>
      <c r="U158" s="650"/>
      <c r="V158" s="711">
        <f>V108+V123+V156</f>
        <v>8877672</v>
      </c>
      <c r="W158" s="711">
        <f>W108+W123+W156</f>
        <v>109081566.7536</v>
      </c>
      <c r="X158" s="942">
        <f>+W158+S166</f>
        <v>102720566.7536</v>
      </c>
    </row>
    <row r="159" spans="1:24" ht="15.75" thickTop="1">
      <c r="A159" s="577"/>
      <c r="K159" s="730"/>
      <c r="L159" s="699"/>
      <c r="M159" s="709"/>
      <c r="N159" s="699"/>
      <c r="O159" s="709"/>
      <c r="P159" s="699"/>
      <c r="Q159" s="700"/>
      <c r="R159" s="699"/>
      <c r="S159" s="709"/>
      <c r="U159" s="650"/>
      <c r="V159" s="709"/>
      <c r="W159" s="709"/>
    </row>
    <row r="160" spans="1:24">
      <c r="A160" s="712" t="s">
        <v>753</v>
      </c>
      <c r="K160" s="730"/>
      <c r="L160" s="699"/>
      <c r="M160" s="709"/>
      <c r="N160" s="699"/>
      <c r="O160" s="709"/>
      <c r="P160" s="699"/>
      <c r="Q160" s="700"/>
      <c r="R160" s="699"/>
      <c r="S160" s="892">
        <v>8877672</v>
      </c>
      <c r="U160" s="650"/>
      <c r="V160" s="713"/>
      <c r="W160" s="713"/>
    </row>
    <row r="161" spans="1:25">
      <c r="A161" s="577"/>
      <c r="K161" s="730"/>
      <c r="L161" s="699"/>
      <c r="M161" s="709"/>
      <c r="N161" s="699"/>
      <c r="O161" s="709"/>
      <c r="P161" s="699"/>
      <c r="Q161" s="700"/>
      <c r="R161" s="699"/>
      <c r="S161" s="709"/>
      <c r="U161" s="650"/>
      <c r="V161" s="709"/>
      <c r="W161" s="709"/>
    </row>
    <row r="162" spans="1:25" ht="15.75" thickBot="1">
      <c r="A162" s="577" t="s">
        <v>512</v>
      </c>
      <c r="K162" s="726">
        <f>SUM(K158:K161)</f>
        <v>3950991155</v>
      </c>
      <c r="L162" s="699"/>
      <c r="M162" s="681">
        <f>SUM(M158:M161)</f>
        <v>1072874830</v>
      </c>
      <c r="N162" s="699"/>
      <c r="O162" s="681">
        <f>SUM(O158:O161)</f>
        <v>2860020643</v>
      </c>
      <c r="P162" s="699"/>
      <c r="Q162" s="700"/>
      <c r="R162" s="699"/>
      <c r="S162" s="681">
        <f>SUM(S158:S161)</f>
        <v>109081567</v>
      </c>
      <c r="U162" s="650"/>
      <c r="V162" s="681"/>
      <c r="W162" s="681"/>
    </row>
    <row r="163" spans="1:25" ht="15.75" thickTop="1">
      <c r="A163" s="577"/>
      <c r="K163" s="730"/>
      <c r="L163" s="699"/>
      <c r="M163" s="709"/>
      <c r="N163" s="699"/>
      <c r="O163" s="709"/>
      <c r="P163" s="699"/>
      <c r="Q163" s="700"/>
      <c r="R163" s="699"/>
      <c r="S163" s="709"/>
      <c r="U163" s="650"/>
      <c r="V163" s="709"/>
      <c r="W163" s="709"/>
    </row>
    <row r="164" spans="1:25">
      <c r="A164" s="577"/>
      <c r="K164" s="730"/>
      <c r="L164" s="699"/>
      <c r="M164" s="709"/>
      <c r="N164" s="699"/>
      <c r="O164" s="709"/>
      <c r="P164" s="699"/>
      <c r="Q164" s="699"/>
      <c r="R164" s="699"/>
      <c r="S164" s="709"/>
      <c r="U164" s="650"/>
      <c r="V164" s="709"/>
      <c r="W164" s="709"/>
    </row>
    <row r="165" spans="1:25">
      <c r="A165" s="577"/>
      <c r="B165" s="714" t="s">
        <v>754</v>
      </c>
      <c r="C165" s="710"/>
      <c r="K165" s="730"/>
      <c r="L165" s="699"/>
      <c r="M165" s="709"/>
      <c r="N165" s="699"/>
      <c r="O165" s="709"/>
      <c r="P165" s="699"/>
      <c r="Q165" s="699"/>
      <c r="R165" s="699"/>
      <c r="S165" s="709"/>
      <c r="U165" s="650"/>
      <c r="V165" s="709"/>
      <c r="W165" s="709">
        <f>+W108+W139+W149-W154</f>
        <v>109081566.7536</v>
      </c>
    </row>
    <row r="166" spans="1:25">
      <c r="A166" s="577"/>
      <c r="B166" s="4"/>
      <c r="C166" s="4"/>
      <c r="D166" s="181"/>
      <c r="K166" s="730"/>
      <c r="L166" s="699"/>
      <c r="M166" s="709"/>
      <c r="N166" s="699"/>
      <c r="O166" s="709"/>
      <c r="P166" s="699"/>
      <c r="Q166" s="699"/>
      <c r="R166" s="699"/>
      <c r="S166" s="709">
        <v>-6361000</v>
      </c>
      <c r="T166" s="423" t="s">
        <v>804</v>
      </c>
      <c r="U166" s="650"/>
      <c r="V166" s="709"/>
      <c r="W166" s="709">
        <f>+S166</f>
        <v>-6361000</v>
      </c>
      <c r="Y166" s="946">
        <f>+X158-Y114</f>
        <v>-1433.2463999986649</v>
      </c>
    </row>
    <row r="167" spans="1:25">
      <c r="B167" s="715"/>
      <c r="C167" s="676"/>
      <c r="K167" s="731"/>
      <c r="M167" s="21"/>
      <c r="O167" s="21">
        <f>+O162+(+K130+K131)*0.9124+K123</f>
        <v>2878116326.0928001</v>
      </c>
      <c r="Q167" s="716"/>
      <c r="U167" s="650"/>
    </row>
    <row r="168" spans="1:25">
      <c r="K168" s="732"/>
      <c r="M168" s="21"/>
      <c r="O168" s="21">
        <f>+Alloc!I360</f>
        <v>2878116326.6324</v>
      </c>
      <c r="Q168" s="717"/>
      <c r="S168" s="624">
        <f>+S106+S139+S149</f>
        <v>28955083</v>
      </c>
      <c r="U168" s="650"/>
      <c r="W168" s="624">
        <f>SUM(W165:W167)</f>
        <v>102720566.7536</v>
      </c>
    </row>
    <row r="169" spans="1:25" ht="13.9" customHeight="1">
      <c r="K169" s="75"/>
      <c r="M169" s="21"/>
      <c r="O169" s="21">
        <f>+O167-O168</f>
        <v>-0.53959989547729492</v>
      </c>
      <c r="Q169" s="717"/>
      <c r="U169" s="650"/>
    </row>
    <row r="170" spans="1:25" ht="13.9" customHeight="1">
      <c r="M170" s="21"/>
      <c r="Q170" s="717"/>
    </row>
    <row r="171" spans="1:25" ht="13.9" customHeight="1">
      <c r="K171" s="850">
        <v>2017</v>
      </c>
      <c r="L171" s="851"/>
      <c r="M171" s="852" t="s">
        <v>785</v>
      </c>
      <c r="N171" s="853"/>
      <c r="O171" s="852" t="s">
        <v>515</v>
      </c>
      <c r="Q171" s="717"/>
    </row>
    <row r="172" spans="1:25" ht="13.9" customHeight="1">
      <c r="C172" s="849" t="s">
        <v>784</v>
      </c>
      <c r="K172" s="403">
        <v>76163128.180000007</v>
      </c>
      <c r="M172" s="21">
        <f>+K172/15*(0.5+2+0.75)</f>
        <v>16502011.105666669</v>
      </c>
      <c r="O172" s="100">
        <f>+K172-M172</f>
        <v>59661117.07433334</v>
      </c>
      <c r="Q172" s="717"/>
    </row>
    <row r="173" spans="1:25" ht="13.9" customHeight="1">
      <c r="M173" s="21"/>
      <c r="O173" s="21"/>
      <c r="Q173" s="717"/>
    </row>
    <row r="174" spans="1:25" ht="13.9" customHeight="1">
      <c r="K174" s="423" t="s">
        <v>213</v>
      </c>
      <c r="M174" s="21">
        <f>+K172/15</f>
        <v>5077541.8786666673</v>
      </c>
      <c r="O174" s="21"/>
      <c r="Q174" s="717"/>
    </row>
    <row r="175" spans="1:25" ht="13.9" customHeight="1">
      <c r="M175" s="21"/>
      <c r="O175" s="21"/>
      <c r="Q175" s="717"/>
    </row>
    <row r="176" spans="1:25" ht="13.9" customHeight="1">
      <c r="M176" s="21"/>
      <c r="O176" s="21"/>
      <c r="Q176" s="717"/>
    </row>
    <row r="177" spans="13:17" ht="13.9" customHeight="1">
      <c r="M177" s="21"/>
      <c r="O177" s="21"/>
      <c r="Q177" s="717"/>
    </row>
    <row r="178" spans="13:17" ht="13.9" customHeight="1">
      <c r="M178" s="21"/>
      <c r="O178" s="21"/>
      <c r="Q178" s="717"/>
    </row>
    <row r="179" spans="13:17" ht="13.9" customHeight="1">
      <c r="M179" s="21"/>
      <c r="O179" s="21"/>
      <c r="Q179" s="717"/>
    </row>
    <row r="180" spans="13:17" ht="13.9" customHeight="1">
      <c r="M180" s="21"/>
      <c r="O180" s="21"/>
      <c r="Q180" s="717"/>
    </row>
    <row r="181" spans="13:17" ht="13.9" customHeight="1">
      <c r="M181" s="21"/>
      <c r="O181" s="21"/>
      <c r="Q181" s="717"/>
    </row>
    <row r="182" spans="13:17" ht="13.9" customHeight="1">
      <c r="M182" s="21"/>
      <c r="O182" s="21"/>
      <c r="Q182" s="717"/>
    </row>
    <row r="183" spans="13:17" ht="13.9" customHeight="1">
      <c r="M183" s="21"/>
      <c r="O183" s="21"/>
      <c r="Q183" s="717"/>
    </row>
    <row r="184" spans="13:17" ht="13.9" customHeight="1">
      <c r="M184" s="21"/>
      <c r="O184" s="21"/>
      <c r="Q184" s="717"/>
    </row>
    <row r="185" spans="13:17" ht="13.9" customHeight="1">
      <c r="M185" s="21"/>
      <c r="O185" s="21"/>
      <c r="Q185" s="717"/>
    </row>
    <row r="186" spans="13:17" ht="13.9" customHeight="1">
      <c r="M186" s="21"/>
      <c r="O186" s="21"/>
      <c r="Q186" s="717"/>
    </row>
    <row r="187" spans="13:17" ht="13.9" customHeight="1">
      <c r="M187" s="21"/>
      <c r="O187" s="21"/>
      <c r="Q187" s="717"/>
    </row>
    <row r="188" spans="13:17" ht="13.9" customHeight="1">
      <c r="M188" s="21"/>
      <c r="O188" s="21"/>
      <c r="Q188" s="717"/>
    </row>
    <row r="189" spans="13:17" ht="13.9" customHeight="1">
      <c r="M189" s="21"/>
      <c r="O189" s="21"/>
      <c r="Q189" s="717"/>
    </row>
    <row r="190" spans="13:17" ht="13.9" customHeight="1">
      <c r="M190" s="21"/>
      <c r="O190" s="21"/>
      <c r="Q190" s="717"/>
    </row>
    <row r="191" spans="13:17" ht="13.9" customHeight="1">
      <c r="M191" s="21"/>
      <c r="O191" s="21"/>
      <c r="Q191" s="717"/>
    </row>
    <row r="192" spans="13:17" ht="13.9" customHeight="1">
      <c r="M192" s="21"/>
      <c r="O192" s="21"/>
      <c r="Q192" s="717"/>
    </row>
    <row r="193" spans="13:17" ht="13.9" customHeight="1">
      <c r="M193" s="21"/>
      <c r="O193" s="21"/>
      <c r="Q193" s="717"/>
    </row>
    <row r="194" spans="13:17" ht="13.9" customHeight="1">
      <c r="M194" s="21"/>
      <c r="O194" s="21"/>
      <c r="Q194" s="717"/>
    </row>
    <row r="195" spans="13:17" ht="13.9" customHeight="1">
      <c r="M195" s="21"/>
      <c r="O195" s="21"/>
      <c r="Q195" s="717"/>
    </row>
    <row r="196" spans="13:17" ht="13.9" customHeight="1">
      <c r="M196" s="21"/>
      <c r="O196" s="21"/>
      <c r="Q196" s="717"/>
    </row>
    <row r="197" spans="13:17" ht="13.9" customHeight="1">
      <c r="M197" s="21"/>
      <c r="O197" s="21"/>
      <c r="Q197" s="717"/>
    </row>
    <row r="198" spans="13:17" ht="13.9" customHeight="1">
      <c r="M198" s="21"/>
      <c r="O198" s="21"/>
      <c r="Q198" s="717"/>
    </row>
    <row r="199" spans="13:17" ht="13.9" customHeight="1">
      <c r="M199" s="21"/>
      <c r="O199" s="21"/>
      <c r="Q199" s="717"/>
    </row>
    <row r="200" spans="13:17" ht="13.9" customHeight="1">
      <c r="M200" s="21"/>
      <c r="O200" s="21"/>
      <c r="Q200" s="717"/>
    </row>
    <row r="201" spans="13:17" ht="13.9" customHeight="1">
      <c r="M201" s="21"/>
      <c r="O201" s="21"/>
      <c r="Q201" s="717"/>
    </row>
    <row r="202" spans="13:17" ht="13.9" customHeight="1">
      <c r="M202" s="21"/>
      <c r="O202" s="21"/>
      <c r="Q202" s="717"/>
    </row>
    <row r="203" spans="13:17" ht="13.9" customHeight="1">
      <c r="M203" s="21"/>
      <c r="O203" s="21"/>
      <c r="Q203" s="717"/>
    </row>
    <row r="204" spans="13:17" ht="13.9" customHeight="1">
      <c r="M204" s="21"/>
      <c r="O204" s="21"/>
      <c r="Q204" s="717"/>
    </row>
    <row r="205" spans="13:17" ht="13.9" customHeight="1">
      <c r="M205" s="21"/>
      <c r="O205" s="21"/>
      <c r="Q205" s="717"/>
    </row>
    <row r="206" spans="13:17" ht="13.9" customHeight="1">
      <c r="M206" s="21"/>
      <c r="O206" s="21"/>
      <c r="Q206" s="717"/>
    </row>
    <row r="207" spans="13:17" ht="15" customHeight="1">
      <c r="M207" s="21"/>
      <c r="O207" s="21"/>
      <c r="Q207" s="717"/>
    </row>
    <row r="208" spans="13:17" ht="15" customHeight="1">
      <c r="M208" s="21"/>
      <c r="O208" s="21"/>
      <c r="Q208" s="717"/>
    </row>
    <row r="209" spans="13:17" ht="15" customHeight="1">
      <c r="M209" s="21"/>
      <c r="O209" s="21"/>
      <c r="Q209" s="717"/>
    </row>
    <row r="210" spans="13:17" ht="15" customHeight="1">
      <c r="M210" s="21"/>
      <c r="O210" s="21"/>
      <c r="Q210" s="717"/>
    </row>
    <row r="211" spans="13:17" ht="15" customHeight="1">
      <c r="M211" s="21"/>
      <c r="O211" s="21"/>
      <c r="Q211" s="717"/>
    </row>
    <row r="212" spans="13:17" ht="15" customHeight="1">
      <c r="M212" s="21"/>
      <c r="O212" s="21"/>
      <c r="Q212" s="717"/>
    </row>
    <row r="213" spans="13:17" ht="15" customHeight="1">
      <c r="M213" s="21"/>
      <c r="O213" s="21"/>
      <c r="Q213" s="717"/>
    </row>
    <row r="214" spans="13:17" ht="15" customHeight="1">
      <c r="M214" s="21"/>
      <c r="O214" s="21"/>
      <c r="Q214" s="717"/>
    </row>
    <row r="215" spans="13:17" ht="15" customHeight="1">
      <c r="M215" s="21"/>
      <c r="O215" s="21"/>
      <c r="Q215" s="717"/>
    </row>
    <row r="216" spans="13:17" ht="15" customHeight="1">
      <c r="M216" s="21"/>
      <c r="O216" s="21"/>
      <c r="Q216" s="717"/>
    </row>
    <row r="217" spans="13:17" ht="15" customHeight="1">
      <c r="M217" s="21"/>
      <c r="O217" s="21"/>
      <c r="Q217" s="717"/>
    </row>
    <row r="218" spans="13:17" ht="15" customHeight="1">
      <c r="M218" s="21"/>
      <c r="O218" s="21"/>
      <c r="Q218" s="717"/>
    </row>
    <row r="219" spans="13:17" ht="15" customHeight="1">
      <c r="M219" s="21"/>
      <c r="O219" s="21"/>
      <c r="Q219" s="717"/>
    </row>
    <row r="220" spans="13:17" ht="15" customHeight="1">
      <c r="M220" s="21"/>
      <c r="O220" s="21"/>
      <c r="Q220" s="717"/>
    </row>
    <row r="221" spans="13:17" ht="15" customHeight="1">
      <c r="M221" s="21"/>
      <c r="O221" s="21"/>
      <c r="Q221" s="717"/>
    </row>
    <row r="222" spans="13:17" ht="15" customHeight="1">
      <c r="M222" s="21"/>
      <c r="O222" s="21"/>
      <c r="Q222" s="717"/>
    </row>
    <row r="223" spans="13:17" ht="15" customHeight="1">
      <c r="M223" s="21"/>
      <c r="O223" s="21"/>
      <c r="Q223" s="717"/>
    </row>
    <row r="224" spans="13:17" ht="15" customHeight="1">
      <c r="M224" s="21"/>
      <c r="O224" s="21"/>
      <c r="Q224" s="717"/>
    </row>
    <row r="225" spans="13:17" ht="15" customHeight="1">
      <c r="M225" s="21"/>
      <c r="O225" s="21"/>
      <c r="Q225" s="717"/>
    </row>
    <row r="226" spans="13:17" ht="15" customHeight="1">
      <c r="M226" s="21"/>
      <c r="O226" s="21"/>
      <c r="Q226" s="717"/>
    </row>
    <row r="227" spans="13:17" ht="15" customHeight="1">
      <c r="M227" s="21"/>
      <c r="O227" s="21"/>
      <c r="Q227" s="717"/>
    </row>
    <row r="228" spans="13:17" ht="15" customHeight="1">
      <c r="M228" s="21"/>
      <c r="O228" s="21"/>
      <c r="Q228" s="717"/>
    </row>
    <row r="229" spans="13:17" ht="15" customHeight="1">
      <c r="M229" s="21"/>
      <c r="O229" s="21"/>
      <c r="Q229" s="717"/>
    </row>
    <row r="230" spans="13:17" ht="15" customHeight="1">
      <c r="M230" s="21"/>
      <c r="O230" s="21"/>
      <c r="Q230" s="717"/>
    </row>
    <row r="231" spans="13:17" ht="15" customHeight="1">
      <c r="M231" s="21"/>
      <c r="O231" s="21"/>
      <c r="Q231" s="717"/>
    </row>
    <row r="232" spans="13:17" ht="15" customHeight="1">
      <c r="M232" s="21"/>
      <c r="O232" s="21"/>
      <c r="Q232" s="717"/>
    </row>
    <row r="233" spans="13:17" ht="15" customHeight="1">
      <c r="M233" s="21"/>
      <c r="O233" s="21"/>
      <c r="Q233" s="717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4"/>
  </sheetPr>
  <dimension ref="A1:FTA307"/>
  <sheetViews>
    <sheetView zoomScale="70" zoomScaleNormal="70" workbookViewId="0">
      <selection activeCell="I40" sqref="I40"/>
    </sheetView>
  </sheetViews>
  <sheetFormatPr defaultRowHeight="15"/>
  <cols>
    <col min="1" max="1" width="13.21875" customWidth="1"/>
    <col min="2" max="2" width="14" customWidth="1"/>
    <col min="3" max="3" width="6.44140625" customWidth="1"/>
    <col min="4" max="4" width="44.21875" customWidth="1"/>
    <col min="5" max="5" width="1.21875" customWidth="1"/>
    <col min="6" max="6" width="15.109375" customWidth="1"/>
    <col min="7" max="7" width="1.44140625" customWidth="1"/>
    <col min="8" max="8" width="15.33203125" customWidth="1"/>
    <col min="9" max="9" width="16.88671875" customWidth="1"/>
    <col min="10" max="10" width="15.33203125" customWidth="1"/>
    <col min="11" max="11" width="17.33203125" style="100" customWidth="1"/>
    <col min="12" max="12" width="13.109375" bestFit="1" customWidth="1"/>
    <col min="13" max="13" width="15.109375" style="100" bestFit="1" customWidth="1"/>
    <col min="14" max="14" width="25.6640625" customWidth="1"/>
    <col min="15" max="16" width="15.109375" bestFit="1" customWidth="1"/>
  </cols>
  <sheetData>
    <row r="1" spans="1:13" ht="15.75">
      <c r="A1" s="106"/>
      <c r="B1" s="106"/>
      <c r="C1" s="106"/>
      <c r="D1" s="55" t="s">
        <v>802</v>
      </c>
      <c r="E1" s="107"/>
      <c r="F1" s="101"/>
      <c r="G1" s="102"/>
      <c r="H1" s="103"/>
      <c r="I1" s="104"/>
      <c r="J1" s="103"/>
    </row>
    <row r="2" spans="1:13" ht="15.75">
      <c r="A2" s="106"/>
      <c r="B2" s="106"/>
      <c r="C2" s="106"/>
      <c r="D2" s="108" t="s">
        <v>607</v>
      </c>
      <c r="E2" s="107"/>
      <c r="F2" s="101"/>
      <c r="G2" s="102"/>
      <c r="H2" s="101"/>
      <c r="I2" s="105"/>
      <c r="J2" s="101"/>
    </row>
    <row r="3" spans="1:13" ht="15.75">
      <c r="A3" s="736"/>
      <c r="B3" s="736"/>
      <c r="C3" s="736"/>
      <c r="D3" s="737" t="s">
        <v>38</v>
      </c>
      <c r="E3" s="287"/>
      <c r="F3" s="738"/>
      <c r="G3" s="739"/>
      <c r="H3" s="740"/>
      <c r="I3" s="741"/>
      <c r="J3" s="740"/>
      <c r="K3" s="742"/>
    </row>
    <row r="4" spans="1:13" ht="15.75">
      <c r="A4" s="1027" t="s">
        <v>524</v>
      </c>
      <c r="B4" s="1027"/>
      <c r="C4" s="736"/>
      <c r="D4" s="743"/>
      <c r="E4" s="743"/>
      <c r="F4" s="744"/>
      <c r="G4" s="745"/>
      <c r="H4" s="1027" t="s">
        <v>526</v>
      </c>
      <c r="I4" s="1027"/>
      <c r="J4" s="746"/>
      <c r="K4" s="742"/>
    </row>
    <row r="5" spans="1:13" ht="15.75">
      <c r="A5" s="747" t="s">
        <v>513</v>
      </c>
      <c r="B5" s="748" t="s">
        <v>514</v>
      </c>
      <c r="C5" s="749" t="s">
        <v>42</v>
      </c>
      <c r="D5" s="743"/>
      <c r="E5" s="743"/>
      <c r="F5" s="744"/>
      <c r="G5" s="745"/>
      <c r="H5" s="747" t="s">
        <v>513</v>
      </c>
      <c r="I5" s="748" t="s">
        <v>514</v>
      </c>
      <c r="J5" s="746"/>
      <c r="K5" s="742"/>
    </row>
    <row r="6" spans="1:13">
      <c r="A6" s="746"/>
      <c r="B6" s="741"/>
      <c r="C6" s="736" t="s">
        <v>43</v>
      </c>
      <c r="D6" s="743"/>
      <c r="E6" s="743"/>
      <c r="F6" s="744"/>
      <c r="G6" s="745"/>
      <c r="H6" s="746"/>
      <c r="I6" s="741"/>
      <c r="J6" s="746"/>
      <c r="K6" s="742"/>
    </row>
    <row r="7" spans="1:13">
      <c r="A7" s="857">
        <v>0</v>
      </c>
      <c r="B7" s="105">
        <v>0</v>
      </c>
      <c r="C7" s="736"/>
      <c r="D7" s="738" t="s">
        <v>57</v>
      </c>
      <c r="E7" s="743"/>
      <c r="F7" s="744">
        <v>710</v>
      </c>
      <c r="G7" s="745"/>
      <c r="H7" s="857">
        <f>ROUND(+A7*1000,0)</f>
        <v>0</v>
      </c>
      <c r="I7" s="857">
        <f>ROUND(+B7*1000,0)</f>
        <v>0</v>
      </c>
      <c r="J7" s="750"/>
      <c r="K7" s="742"/>
    </row>
    <row r="8" spans="1:13">
      <c r="A8" s="857">
        <v>0</v>
      </c>
      <c r="B8" s="105">
        <v>0</v>
      </c>
      <c r="C8" s="736"/>
      <c r="D8" s="738" t="s">
        <v>468</v>
      </c>
      <c r="E8" s="743"/>
      <c r="F8" s="744">
        <v>717</v>
      </c>
      <c r="G8" s="745"/>
      <c r="H8" s="857">
        <f t="shared" ref="H8:H11" si="0">ROUND(+A8*1000,0)</f>
        <v>0</v>
      </c>
      <c r="I8" s="857">
        <f t="shared" ref="I8:I11" si="1">ROUND(+B8*1000,0)</f>
        <v>0</v>
      </c>
      <c r="J8" s="750"/>
      <c r="K8" s="742"/>
    </row>
    <row r="9" spans="1:13">
      <c r="A9" s="857"/>
      <c r="B9" s="105"/>
      <c r="C9" s="736"/>
      <c r="D9" s="738"/>
      <c r="E9" s="743"/>
      <c r="F9" s="744"/>
      <c r="G9" s="745"/>
      <c r="H9" s="857"/>
      <c r="I9" s="857">
        <f t="shared" si="1"/>
        <v>0</v>
      </c>
      <c r="J9" s="750"/>
      <c r="K9" s="742"/>
    </row>
    <row r="10" spans="1:13">
      <c r="A10" s="857">
        <v>97.091058966327907</v>
      </c>
      <c r="B10" s="105">
        <v>94.293458966327918</v>
      </c>
      <c r="C10" s="736"/>
      <c r="D10" s="738" t="s">
        <v>469</v>
      </c>
      <c r="E10" s="743"/>
      <c r="F10" s="744" t="s">
        <v>45</v>
      </c>
      <c r="G10" s="745"/>
      <c r="H10" s="857">
        <f t="shared" si="0"/>
        <v>97091</v>
      </c>
      <c r="I10" s="857">
        <f t="shared" si="1"/>
        <v>94293</v>
      </c>
      <c r="J10" s="750"/>
      <c r="K10" s="742"/>
    </row>
    <row r="11" spans="1:13">
      <c r="A11" s="857">
        <v>4826.666666666667</v>
      </c>
      <c r="B11" s="105">
        <v>0</v>
      </c>
      <c r="C11" s="736"/>
      <c r="D11" s="738" t="s">
        <v>44</v>
      </c>
      <c r="E11" s="743"/>
      <c r="F11" s="751" t="s">
        <v>47</v>
      </c>
      <c r="G11" s="745"/>
      <c r="H11" s="857">
        <f t="shared" si="0"/>
        <v>4826667</v>
      </c>
      <c r="I11" s="857">
        <f t="shared" si="1"/>
        <v>0</v>
      </c>
      <c r="J11" s="750"/>
      <c r="K11" s="742"/>
    </row>
    <row r="12" spans="1:13">
      <c r="A12" s="858">
        <f>SUM(A7:A11)</f>
        <v>4923.7577256329951</v>
      </c>
      <c r="B12" s="858">
        <f>SUM(B7:B11)</f>
        <v>94.293458966327918</v>
      </c>
      <c r="C12" s="736"/>
      <c r="D12" s="751" t="s">
        <v>48</v>
      </c>
      <c r="E12" s="743"/>
      <c r="F12" s="744"/>
      <c r="G12" s="745"/>
      <c r="H12" s="858">
        <f>SUM(H7:H11)</f>
        <v>4923758</v>
      </c>
      <c r="I12" s="858">
        <f>SUM(I7:I11)</f>
        <v>94293</v>
      </c>
      <c r="J12" s="752"/>
      <c r="K12" s="742"/>
    </row>
    <row r="13" spans="1:13">
      <c r="A13" s="740"/>
      <c r="B13" s="741"/>
      <c r="C13" s="736"/>
      <c r="D13" s="744"/>
      <c r="E13" s="740"/>
      <c r="F13" s="744"/>
      <c r="G13" s="745"/>
      <c r="H13" s="740"/>
      <c r="I13" s="741"/>
      <c r="J13" s="740"/>
      <c r="K13" s="742"/>
    </row>
    <row r="14" spans="1:13" s="149" customFormat="1">
      <c r="A14" s="740"/>
      <c r="B14" s="741"/>
      <c r="C14" s="736" t="s">
        <v>362</v>
      </c>
      <c r="D14" s="744"/>
      <c r="E14" s="740"/>
      <c r="F14" s="744"/>
      <c r="G14" s="745"/>
      <c r="H14" s="740"/>
      <c r="I14" s="741"/>
      <c r="J14" s="740"/>
      <c r="K14" s="742"/>
      <c r="M14" s="165"/>
    </row>
    <row r="15" spans="1:13" s="149" customFormat="1">
      <c r="A15" s="859">
        <v>0</v>
      </c>
      <c r="B15" s="105">
        <v>0</v>
      </c>
      <c r="C15" s="736"/>
      <c r="D15" s="738" t="s">
        <v>363</v>
      </c>
      <c r="E15" s="740"/>
      <c r="F15" s="753" t="s">
        <v>365</v>
      </c>
      <c r="G15" s="745"/>
      <c r="H15" s="857">
        <f>ROUND(+A15*1000,0)</f>
        <v>0</v>
      </c>
      <c r="I15" s="857">
        <f>ROUND(+B15*1000,0)</f>
        <v>0</v>
      </c>
      <c r="J15" s="750"/>
      <c r="K15" s="742"/>
      <c r="M15" s="165"/>
    </row>
    <row r="16" spans="1:13" s="149" customFormat="1">
      <c r="A16" s="859">
        <v>0</v>
      </c>
      <c r="B16" s="105">
        <v>0</v>
      </c>
      <c r="C16" s="736"/>
      <c r="D16" s="738" t="s">
        <v>364</v>
      </c>
      <c r="E16" s="740"/>
      <c r="F16" s="753" t="s">
        <v>366</v>
      </c>
      <c r="G16" s="745"/>
      <c r="H16" s="857">
        <f t="shared" ref="H16:H18" si="2">ROUND(+A16*1000,0)</f>
        <v>0</v>
      </c>
      <c r="I16" s="857">
        <f t="shared" ref="I16:I18" si="3">ROUND(+B16*1000,0)</f>
        <v>0</v>
      </c>
      <c r="J16" s="750"/>
      <c r="K16" s="742"/>
      <c r="M16" s="165"/>
    </row>
    <row r="17" spans="1:13" s="149" customFormat="1">
      <c r="A17" s="859">
        <v>0</v>
      </c>
      <c r="B17" s="105">
        <v>0</v>
      </c>
      <c r="C17" s="736"/>
      <c r="D17" s="738" t="s">
        <v>470</v>
      </c>
      <c r="E17" s="740"/>
      <c r="F17" s="753" t="s">
        <v>472</v>
      </c>
      <c r="G17" s="745"/>
      <c r="H17" s="857">
        <f t="shared" si="2"/>
        <v>0</v>
      </c>
      <c r="I17" s="857">
        <f t="shared" si="3"/>
        <v>0</v>
      </c>
      <c r="J17" s="750"/>
      <c r="K17" s="742"/>
      <c r="M17" s="165"/>
    </row>
    <row r="18" spans="1:13" s="149" customFormat="1">
      <c r="A18" s="859">
        <v>0</v>
      </c>
      <c r="B18" s="105">
        <v>0</v>
      </c>
      <c r="C18" s="736"/>
      <c r="D18" s="738" t="s">
        <v>471</v>
      </c>
      <c r="E18" s="740"/>
      <c r="F18" s="753" t="s">
        <v>473</v>
      </c>
      <c r="G18" s="745"/>
      <c r="H18" s="857">
        <f t="shared" si="2"/>
        <v>0</v>
      </c>
      <c r="I18" s="857">
        <f t="shared" si="3"/>
        <v>0</v>
      </c>
      <c r="J18" s="750"/>
      <c r="K18" s="742"/>
      <c r="M18" s="165"/>
    </row>
    <row r="19" spans="1:13" s="149" customFormat="1">
      <c r="A19" s="859">
        <f>SUM(A15:A18)</f>
        <v>0</v>
      </c>
      <c r="B19" s="105">
        <v>0</v>
      </c>
      <c r="C19" s="736"/>
      <c r="D19" s="744" t="s">
        <v>367</v>
      </c>
      <c r="E19" s="740"/>
      <c r="F19" s="744"/>
      <c r="G19" s="745"/>
      <c r="H19" s="876">
        <f>SUM(H15:H18)</f>
        <v>0</v>
      </c>
      <c r="I19" s="876">
        <f>SUM(I15:I18)</f>
        <v>0</v>
      </c>
      <c r="J19" s="752"/>
      <c r="K19" s="742"/>
      <c r="M19" s="165"/>
    </row>
    <row r="20" spans="1:13" s="149" customFormat="1">
      <c r="A20" s="740"/>
      <c r="B20" s="741"/>
      <c r="C20" s="736"/>
      <c r="D20" s="744"/>
      <c r="E20" s="740"/>
      <c r="F20" s="744"/>
      <c r="G20" s="745"/>
      <c r="H20" s="740"/>
      <c r="I20" s="741"/>
      <c r="J20" s="740"/>
      <c r="K20" s="742"/>
      <c r="M20" s="165"/>
    </row>
    <row r="21" spans="1:13" s="149" customFormat="1" ht="15.75">
      <c r="A21" s="740"/>
      <c r="B21" s="754"/>
      <c r="C21" s="736" t="s">
        <v>49</v>
      </c>
      <c r="D21" s="755"/>
      <c r="E21" s="740"/>
      <c r="F21" s="744"/>
      <c r="G21" s="745"/>
      <c r="H21" s="740"/>
      <c r="I21" s="754"/>
      <c r="J21" s="740"/>
      <c r="K21" s="742"/>
      <c r="M21" s="165"/>
    </row>
    <row r="22" spans="1:13" s="149" customFormat="1">
      <c r="A22" s="857">
        <v>0</v>
      </c>
      <c r="B22" s="105">
        <v>0</v>
      </c>
      <c r="C22" s="736"/>
      <c r="D22" s="738" t="s">
        <v>475</v>
      </c>
      <c r="E22" s="740"/>
      <c r="F22" s="756" t="s">
        <v>479</v>
      </c>
      <c r="G22" s="745"/>
      <c r="H22" s="857">
        <f>ROUND(+A22*1000,0)</f>
        <v>0</v>
      </c>
      <c r="I22" s="857">
        <f>ROUND(+B22*1000,0)</f>
        <v>0</v>
      </c>
      <c r="J22" s="750"/>
      <c r="K22" s="742"/>
      <c r="M22" s="165"/>
    </row>
    <row r="23" spans="1:13" s="149" customFormat="1">
      <c r="A23" s="857">
        <v>317426.06400000001</v>
      </c>
      <c r="B23" s="105">
        <v>0</v>
      </c>
      <c r="C23" s="736"/>
      <c r="D23" s="738" t="s">
        <v>50</v>
      </c>
      <c r="E23" s="740"/>
      <c r="F23" s="757">
        <v>804</v>
      </c>
      <c r="G23" s="745"/>
      <c r="H23" s="857">
        <f t="shared" ref="H23:H32" si="4">ROUND(+A23*1000,0)</f>
        <v>317426064</v>
      </c>
      <c r="I23" s="857">
        <f t="shared" ref="I23:I32" si="5">ROUND(+B23*1000,0)</f>
        <v>0</v>
      </c>
      <c r="J23" s="750"/>
      <c r="K23" s="742"/>
      <c r="M23" s="165"/>
    </row>
    <row r="24" spans="1:13" s="149" customFormat="1">
      <c r="A24" s="857">
        <v>0</v>
      </c>
      <c r="B24" s="105">
        <v>0</v>
      </c>
      <c r="C24" s="736"/>
      <c r="D24" s="738" t="s">
        <v>476</v>
      </c>
      <c r="E24" s="740"/>
      <c r="F24" s="757">
        <v>804.1</v>
      </c>
      <c r="G24" s="745"/>
      <c r="H24" s="857">
        <f t="shared" si="4"/>
        <v>0</v>
      </c>
      <c r="I24" s="857">
        <f t="shared" si="5"/>
        <v>0</v>
      </c>
      <c r="J24" s="750"/>
      <c r="K24" s="742"/>
      <c r="M24" s="165"/>
    </row>
    <row r="25" spans="1:13" s="149" customFormat="1">
      <c r="A25" s="857">
        <v>2791.777</v>
      </c>
      <c r="B25" s="105">
        <v>0</v>
      </c>
      <c r="C25" s="736"/>
      <c r="D25" s="738" t="s">
        <v>51</v>
      </c>
      <c r="E25" s="740"/>
      <c r="F25" s="757">
        <v>805</v>
      </c>
      <c r="G25" s="745"/>
      <c r="H25" s="857">
        <f t="shared" si="4"/>
        <v>2791777</v>
      </c>
      <c r="I25" s="857">
        <f t="shared" si="5"/>
        <v>0</v>
      </c>
      <c r="J25" s="750"/>
      <c r="K25" s="742"/>
      <c r="M25" s="165"/>
    </row>
    <row r="26" spans="1:13" s="149" customFormat="1">
      <c r="A26" s="857">
        <v>-83954.360199999996</v>
      </c>
      <c r="B26" s="105">
        <v>0</v>
      </c>
      <c r="C26" s="736"/>
      <c r="D26" s="738" t="s">
        <v>52</v>
      </c>
      <c r="E26" s="740"/>
      <c r="F26" s="756">
        <v>805.1</v>
      </c>
      <c r="G26" s="745"/>
      <c r="H26" s="857">
        <f t="shared" si="4"/>
        <v>-83954360</v>
      </c>
      <c r="I26" s="857">
        <f t="shared" si="5"/>
        <v>0</v>
      </c>
      <c r="J26" s="750"/>
      <c r="K26" s="742"/>
      <c r="M26" s="165"/>
    </row>
    <row r="27" spans="1:13" s="149" customFormat="1">
      <c r="A27" s="857">
        <v>0</v>
      </c>
      <c r="B27" s="105">
        <v>0</v>
      </c>
      <c r="C27" s="736"/>
      <c r="D27" s="738" t="s">
        <v>477</v>
      </c>
      <c r="E27" s="740"/>
      <c r="F27" s="756">
        <v>806</v>
      </c>
      <c r="G27" s="745"/>
      <c r="H27" s="857">
        <f t="shared" si="4"/>
        <v>0</v>
      </c>
      <c r="I27" s="857">
        <f t="shared" si="5"/>
        <v>0</v>
      </c>
      <c r="J27" s="750"/>
      <c r="K27" s="742"/>
      <c r="M27" s="165"/>
    </row>
    <row r="28" spans="1:13" s="149" customFormat="1">
      <c r="A28" s="857">
        <v>0</v>
      </c>
      <c r="B28" s="105">
        <v>0</v>
      </c>
      <c r="C28" s="736"/>
      <c r="D28" s="738" t="s">
        <v>478</v>
      </c>
      <c r="E28" s="740"/>
      <c r="F28" s="756">
        <v>807</v>
      </c>
      <c r="G28" s="745"/>
      <c r="H28" s="857">
        <f t="shared" si="4"/>
        <v>0</v>
      </c>
      <c r="I28" s="857">
        <f t="shared" si="5"/>
        <v>0</v>
      </c>
      <c r="J28" s="750"/>
      <c r="K28" s="742"/>
      <c r="M28" s="165"/>
    </row>
    <row r="29" spans="1:13" s="149" customFormat="1">
      <c r="A29" s="857">
        <v>40963.871200000001</v>
      </c>
      <c r="B29" s="105">
        <v>0</v>
      </c>
      <c r="C29" s="736"/>
      <c r="D29" s="738" t="s">
        <v>53</v>
      </c>
      <c r="E29" s="743"/>
      <c r="F29" s="756">
        <v>808.1</v>
      </c>
      <c r="G29" s="745"/>
      <c r="H29" s="857">
        <f t="shared" si="4"/>
        <v>40963871</v>
      </c>
      <c r="I29" s="857">
        <f t="shared" si="5"/>
        <v>0</v>
      </c>
      <c r="J29" s="750"/>
      <c r="K29" s="742"/>
      <c r="M29" s="165"/>
    </row>
    <row r="30" spans="1:13" s="149" customFormat="1">
      <c r="A30" s="857">
        <v>-27248.260399999999</v>
      </c>
      <c r="B30" s="105">
        <v>0</v>
      </c>
      <c r="C30" s="736"/>
      <c r="D30" s="738" t="s">
        <v>305</v>
      </c>
      <c r="E30" s="743"/>
      <c r="F30" s="756">
        <v>808.2</v>
      </c>
      <c r="G30" s="745"/>
      <c r="H30" s="857">
        <f t="shared" si="4"/>
        <v>-27248260</v>
      </c>
      <c r="I30" s="857">
        <f t="shared" si="5"/>
        <v>0</v>
      </c>
      <c r="J30" s="750"/>
      <c r="K30" s="742"/>
      <c r="M30" s="165"/>
    </row>
    <row r="31" spans="1:13" s="149" customFormat="1">
      <c r="A31" s="857">
        <v>-921</v>
      </c>
      <c r="B31" s="105">
        <v>0</v>
      </c>
      <c r="C31" s="287"/>
      <c r="D31" s="738" t="s">
        <v>474</v>
      </c>
      <c r="E31" s="287"/>
      <c r="F31" s="756">
        <v>812</v>
      </c>
      <c r="G31" s="738"/>
      <c r="H31" s="857">
        <f t="shared" si="4"/>
        <v>-921000</v>
      </c>
      <c r="I31" s="857">
        <f t="shared" si="5"/>
        <v>0</v>
      </c>
      <c r="J31" s="750"/>
      <c r="K31" s="742"/>
      <c r="M31" s="165"/>
    </row>
    <row r="32" spans="1:13" s="149" customFormat="1">
      <c r="A32" s="857">
        <v>17653.322816321855</v>
      </c>
      <c r="B32" s="105">
        <v>2.0278163218565144</v>
      </c>
      <c r="C32" s="287"/>
      <c r="D32" s="738" t="s">
        <v>228</v>
      </c>
      <c r="E32" s="287"/>
      <c r="F32" s="756">
        <v>813</v>
      </c>
      <c r="G32" s="738"/>
      <c r="H32" s="857">
        <f t="shared" si="4"/>
        <v>17653323</v>
      </c>
      <c r="I32" s="857">
        <f t="shared" si="5"/>
        <v>2028</v>
      </c>
      <c r="J32" s="750"/>
      <c r="K32" s="742"/>
      <c r="M32" s="165"/>
    </row>
    <row r="33" spans="1:13" s="149" customFormat="1">
      <c r="A33" s="860">
        <f>SUM(A22:A32)</f>
        <v>266711.41441632184</v>
      </c>
      <c r="B33" s="860">
        <f>SUM(B22:B32)</f>
        <v>2.0278163218565144</v>
      </c>
      <c r="C33" s="287"/>
      <c r="D33" s="759" t="s">
        <v>54</v>
      </c>
      <c r="E33" s="287"/>
      <c r="F33" s="759"/>
      <c r="G33" s="738"/>
      <c r="H33" s="860">
        <f>SUM(H22:H32)</f>
        <v>266711415</v>
      </c>
      <c r="I33" s="860">
        <f>SUM(I22:I32)</f>
        <v>2028</v>
      </c>
      <c r="J33" s="758"/>
      <c r="K33" s="742"/>
      <c r="M33" s="165"/>
    </row>
    <row r="34" spans="1:13" s="149" customFormat="1">
      <c r="A34" s="738"/>
      <c r="B34" s="738"/>
      <c r="C34" s="287"/>
      <c r="D34" s="287"/>
      <c r="E34" s="287"/>
      <c r="F34" s="738"/>
      <c r="G34" s="738"/>
      <c r="H34" s="738"/>
      <c r="I34" s="738"/>
      <c r="J34" s="738"/>
      <c r="K34" s="742"/>
      <c r="M34" s="165"/>
    </row>
    <row r="35" spans="1:13" s="149" customFormat="1">
      <c r="A35" s="738"/>
      <c r="B35" s="738"/>
      <c r="C35" s="287" t="s">
        <v>368</v>
      </c>
      <c r="D35" s="287"/>
      <c r="E35" s="287"/>
      <c r="F35" s="738"/>
      <c r="G35" s="738"/>
      <c r="H35" s="738"/>
      <c r="I35" s="738"/>
      <c r="J35" s="738"/>
      <c r="K35" s="742"/>
      <c r="M35" s="165"/>
    </row>
    <row r="36" spans="1:13" s="149" customFormat="1">
      <c r="A36" s="861">
        <v>0</v>
      </c>
      <c r="B36" s="260">
        <v>0</v>
      </c>
      <c r="C36" s="287"/>
      <c r="D36" s="287" t="s">
        <v>369</v>
      </c>
      <c r="E36" s="287"/>
      <c r="F36" s="753" t="s">
        <v>405</v>
      </c>
      <c r="G36" s="738"/>
      <c r="H36" s="760"/>
      <c r="I36" s="738"/>
      <c r="J36" s="761"/>
      <c r="K36" s="742"/>
      <c r="M36" s="165"/>
    </row>
    <row r="37" spans="1:13" s="149" customFormat="1">
      <c r="A37" s="862">
        <v>0</v>
      </c>
      <c r="B37" s="863">
        <v>0</v>
      </c>
      <c r="C37" s="287"/>
      <c r="D37" s="287" t="s">
        <v>65</v>
      </c>
      <c r="E37" s="287"/>
      <c r="F37" s="753" t="s">
        <v>406</v>
      </c>
      <c r="G37" s="738"/>
      <c r="H37" s="862"/>
      <c r="I37" s="260"/>
      <c r="J37" s="877"/>
      <c r="K37" s="742"/>
      <c r="M37" s="165"/>
    </row>
    <row r="38" spans="1:13" s="149" customFormat="1">
      <c r="A38" s="88">
        <f>SUM(A36:A37)</f>
        <v>0</v>
      </c>
      <c r="B38" s="88">
        <f>SUM(B36:B37)</f>
        <v>0</v>
      </c>
      <c r="C38" s="287"/>
      <c r="D38" s="287"/>
      <c r="E38" s="287"/>
      <c r="F38" s="753"/>
      <c r="G38" s="738"/>
      <c r="H38" s="88">
        <f>SUM(H36:H37)</f>
        <v>0</v>
      </c>
      <c r="I38" s="88">
        <f>SUM(I36:I37)</f>
        <v>0</v>
      </c>
      <c r="J38" s="869"/>
      <c r="K38" s="742"/>
      <c r="M38" s="165"/>
    </row>
    <row r="39" spans="1:13" s="149" customFormat="1">
      <c r="A39" s="763"/>
      <c r="B39" s="738"/>
      <c r="C39" s="287" t="s">
        <v>408</v>
      </c>
      <c r="D39" s="287"/>
      <c r="E39" s="287"/>
      <c r="F39" s="753"/>
      <c r="G39" s="738"/>
      <c r="H39" s="763"/>
      <c r="I39" s="738"/>
      <c r="J39" s="764"/>
      <c r="K39" s="742"/>
      <c r="M39" s="165"/>
    </row>
    <row r="40" spans="1:13" s="149" customFormat="1">
      <c r="A40" s="869">
        <v>5.5632643713028972E-2</v>
      </c>
      <c r="B40" s="105">
        <v>4.0556326437130288</v>
      </c>
      <c r="C40" s="287"/>
      <c r="D40" s="287" t="s">
        <v>483</v>
      </c>
      <c r="E40" s="287"/>
      <c r="F40" s="757">
        <v>840</v>
      </c>
      <c r="G40" s="738"/>
      <c r="H40" s="901">
        <f>ROUND(+A40*1000,0)*0</f>
        <v>0</v>
      </c>
      <c r="I40" s="901">
        <f>ROUND(+B40*1000,0)*0</f>
        <v>0</v>
      </c>
      <c r="J40" s="878"/>
      <c r="K40" s="742"/>
      <c r="M40" s="165"/>
    </row>
    <row r="41" spans="1:13" s="149" customFormat="1">
      <c r="A41" s="869">
        <v>0</v>
      </c>
      <c r="B41" s="105">
        <v>0</v>
      </c>
      <c r="C41" s="287"/>
      <c r="D41" s="287" t="s">
        <v>484</v>
      </c>
      <c r="E41" s="287"/>
      <c r="F41" s="757">
        <v>841</v>
      </c>
      <c r="G41" s="738"/>
      <c r="H41" s="857">
        <f t="shared" ref="H41:H42" si="6">ROUND(+A41*1000,0)</f>
        <v>0</v>
      </c>
      <c r="I41" s="857">
        <f t="shared" ref="I41:I42" si="7">ROUND(+B41*1000,0)</f>
        <v>0</v>
      </c>
      <c r="J41" s="878"/>
      <c r="K41" s="742"/>
      <c r="M41" s="165"/>
    </row>
    <row r="42" spans="1:13" s="149" customFormat="1">
      <c r="A42" s="867">
        <v>0</v>
      </c>
      <c r="B42" s="870">
        <v>0</v>
      </c>
      <c r="C42" s="287"/>
      <c r="D42" s="287" t="s">
        <v>485</v>
      </c>
      <c r="E42" s="287"/>
      <c r="F42" s="757" t="s">
        <v>486</v>
      </c>
      <c r="G42" s="738"/>
      <c r="H42" s="857">
        <f t="shared" si="6"/>
        <v>0</v>
      </c>
      <c r="I42" s="857">
        <f t="shared" si="7"/>
        <v>0</v>
      </c>
      <c r="J42" s="877"/>
      <c r="K42" s="742"/>
      <c r="M42" s="165"/>
    </row>
    <row r="43" spans="1:13" s="222" customFormat="1">
      <c r="A43" s="869">
        <f>SUM(A40:A42)</f>
        <v>5.5632643713028972E-2</v>
      </c>
      <c r="B43" s="869">
        <f>SUM(B40:B42)</f>
        <v>4.0556326437130288</v>
      </c>
      <c r="C43" s="738"/>
      <c r="D43" s="738"/>
      <c r="E43" s="738"/>
      <c r="F43" s="753"/>
      <c r="G43" s="738"/>
      <c r="H43" s="879">
        <f>SUM(H40:H42)</f>
        <v>0</v>
      </c>
      <c r="I43" s="879">
        <f>SUM(I40:I42)</f>
        <v>0</v>
      </c>
      <c r="J43" s="869"/>
      <c r="K43" s="765"/>
      <c r="M43" s="248"/>
    </row>
    <row r="44" spans="1:13" s="149" customFormat="1">
      <c r="A44" s="763"/>
      <c r="B44" s="738"/>
      <c r="C44" s="287" t="s">
        <v>370</v>
      </c>
      <c r="D44" s="287"/>
      <c r="E44" s="287"/>
      <c r="F44" s="753"/>
      <c r="G44" s="738"/>
      <c r="H44" s="763"/>
      <c r="I44" s="738"/>
      <c r="J44" s="764"/>
      <c r="K44" s="742"/>
      <c r="M44" s="165"/>
    </row>
    <row r="45" spans="1:13" s="149" customFormat="1">
      <c r="A45" s="869">
        <v>0</v>
      </c>
      <c r="B45" s="105">
        <v>0</v>
      </c>
      <c r="C45" s="287"/>
      <c r="D45" s="287" t="s">
        <v>371</v>
      </c>
      <c r="E45" s="287"/>
      <c r="F45" s="753" t="s">
        <v>409</v>
      </c>
      <c r="G45" s="738"/>
      <c r="H45" s="857">
        <f>ROUND(+A45*1000,0)</f>
        <v>0</v>
      </c>
      <c r="I45" s="857">
        <f>ROUND(+B45*1000,0)</f>
        <v>0</v>
      </c>
      <c r="J45" s="761"/>
      <c r="K45" s="742"/>
      <c r="M45" s="165"/>
    </row>
    <row r="46" spans="1:13" s="149" customFormat="1">
      <c r="A46" s="867">
        <v>0</v>
      </c>
      <c r="B46" s="870">
        <v>0</v>
      </c>
      <c r="C46" s="287"/>
      <c r="D46" s="287" t="s">
        <v>372</v>
      </c>
      <c r="E46" s="287"/>
      <c r="F46" s="753" t="s">
        <v>410</v>
      </c>
      <c r="G46" s="738"/>
      <c r="H46" s="868">
        <f>ROUND(+A46*1000,0)</f>
        <v>0</v>
      </c>
      <c r="I46" s="868">
        <f>ROUND(+B46*1000,0)</f>
        <v>0</v>
      </c>
      <c r="J46" s="762"/>
      <c r="K46" s="742"/>
      <c r="M46" s="165"/>
    </row>
    <row r="47" spans="1:13" s="222" customFormat="1">
      <c r="A47" s="869">
        <f>SUM(A45:A46)</f>
        <v>0</v>
      </c>
      <c r="B47" s="869">
        <f>SUM(B45:B46)</f>
        <v>0</v>
      </c>
      <c r="C47" s="738"/>
      <c r="D47" s="738"/>
      <c r="E47" s="738"/>
      <c r="F47" s="738"/>
      <c r="G47" s="738"/>
      <c r="H47" s="869">
        <f>SUM(H45:H46)</f>
        <v>0</v>
      </c>
      <c r="I47" s="869">
        <f>SUM(I45:I46)</f>
        <v>0</v>
      </c>
      <c r="J47" s="764"/>
      <c r="K47" s="765"/>
      <c r="M47" s="248"/>
    </row>
    <row r="48" spans="1:13" s="149" customFormat="1">
      <c r="A48" s="738"/>
      <c r="B48" s="738"/>
      <c r="C48" s="287" t="s">
        <v>55</v>
      </c>
      <c r="D48" s="287"/>
      <c r="E48" s="287"/>
      <c r="F48" s="738"/>
      <c r="G48" s="738"/>
      <c r="H48" s="738"/>
      <c r="I48" s="738"/>
      <c r="J48" s="738"/>
      <c r="K48" s="742"/>
      <c r="M48" s="165"/>
    </row>
    <row r="49" spans="1:11">
      <c r="A49" s="738"/>
      <c r="B49" s="738"/>
      <c r="C49" s="287" t="s">
        <v>56</v>
      </c>
      <c r="D49" s="287"/>
      <c r="E49" s="287"/>
      <c r="F49" s="738"/>
      <c r="G49" s="738"/>
      <c r="H49" s="738"/>
      <c r="I49" s="738"/>
      <c r="J49" s="738"/>
      <c r="K49" s="742"/>
    </row>
    <row r="50" spans="1:11">
      <c r="A50" s="871">
        <v>8138.9910278795696</v>
      </c>
      <c r="B50" s="105">
        <v>7383.2792278795696</v>
      </c>
      <c r="C50" s="287"/>
      <c r="D50" s="287" t="s">
        <v>57</v>
      </c>
      <c r="E50" s="287"/>
      <c r="F50" s="759">
        <v>870</v>
      </c>
      <c r="G50" s="738"/>
      <c r="H50" s="857">
        <f>ROUND(+A50*1000,0)</f>
        <v>8138991</v>
      </c>
      <c r="I50" s="857">
        <f>ROUND(+B50*1000,0)</f>
        <v>7383279</v>
      </c>
      <c r="J50" s="750"/>
      <c r="K50" s="742"/>
    </row>
    <row r="51" spans="1:11">
      <c r="A51" s="871">
        <v>1859.3610835636282</v>
      </c>
      <c r="B51" s="105">
        <v>47.653683563628093</v>
      </c>
      <c r="C51" s="287"/>
      <c r="D51" s="287" t="s">
        <v>58</v>
      </c>
      <c r="E51" s="287"/>
      <c r="F51" s="759">
        <v>871</v>
      </c>
      <c r="G51" s="738"/>
      <c r="H51" s="857">
        <f t="shared" ref="H51:H61" si="8">ROUND(+A51*1000,0)</f>
        <v>1859361</v>
      </c>
      <c r="I51" s="857">
        <f t="shared" ref="I51:I61" si="9">ROUND(+B51*1000,0)</f>
        <v>47654</v>
      </c>
      <c r="J51" s="750"/>
      <c r="K51" s="742"/>
    </row>
    <row r="52" spans="1:11">
      <c r="A52" s="871">
        <v>0</v>
      </c>
      <c r="B52" s="105">
        <v>0</v>
      </c>
      <c r="C52" s="287"/>
      <c r="D52" s="287" t="s">
        <v>487</v>
      </c>
      <c r="E52" s="287"/>
      <c r="F52" s="759">
        <v>872</v>
      </c>
      <c r="G52" s="738"/>
      <c r="H52" s="857">
        <f t="shared" si="8"/>
        <v>0</v>
      </c>
      <c r="I52" s="857">
        <f t="shared" si="9"/>
        <v>0</v>
      </c>
      <c r="J52" s="750"/>
      <c r="K52" s="742"/>
    </row>
    <row r="53" spans="1:11">
      <c r="A53" s="871">
        <v>0</v>
      </c>
      <c r="B53" s="105">
        <v>0</v>
      </c>
      <c r="C53" s="287"/>
      <c r="D53" s="287" t="s">
        <v>411</v>
      </c>
      <c r="E53" s="287"/>
      <c r="F53" s="759">
        <v>873</v>
      </c>
      <c r="G53" s="738"/>
      <c r="H53" s="857">
        <f t="shared" si="8"/>
        <v>0</v>
      </c>
      <c r="I53" s="857">
        <f t="shared" si="9"/>
        <v>0</v>
      </c>
      <c r="J53" s="750"/>
      <c r="K53" s="742"/>
    </row>
    <row r="54" spans="1:11">
      <c r="A54" s="871">
        <v>21553.580009496436</v>
      </c>
      <c r="B54" s="105">
        <v>8275.5184094964352</v>
      </c>
      <c r="C54" s="287"/>
      <c r="D54" s="287" t="s">
        <v>59</v>
      </c>
      <c r="E54" s="287"/>
      <c r="F54" s="759">
        <v>874</v>
      </c>
      <c r="G54" s="738"/>
      <c r="H54" s="857">
        <f t="shared" si="8"/>
        <v>21553580</v>
      </c>
      <c r="I54" s="857">
        <f t="shared" si="9"/>
        <v>8275518</v>
      </c>
      <c r="J54" s="750"/>
      <c r="K54" s="742"/>
    </row>
    <row r="55" spans="1:11">
      <c r="A55" s="871">
        <v>2012.19893391855</v>
      </c>
      <c r="B55" s="105">
        <v>1221.7593339185501</v>
      </c>
      <c r="C55" s="287"/>
      <c r="D55" s="287" t="s">
        <v>60</v>
      </c>
      <c r="E55" s="287"/>
      <c r="F55" s="759">
        <v>875</v>
      </c>
      <c r="G55" s="738"/>
      <c r="H55" s="857">
        <f t="shared" si="8"/>
        <v>2012199</v>
      </c>
      <c r="I55" s="857">
        <f t="shared" si="9"/>
        <v>1221759</v>
      </c>
      <c r="J55" s="750"/>
      <c r="K55" s="742"/>
    </row>
    <row r="56" spans="1:11">
      <c r="A56" s="871">
        <v>567.87813793417263</v>
      </c>
      <c r="B56" s="105">
        <v>365.00693793417258</v>
      </c>
      <c r="C56" s="287"/>
      <c r="D56" s="287" t="s">
        <v>61</v>
      </c>
      <c r="E56" s="287"/>
      <c r="F56" s="759">
        <v>876</v>
      </c>
      <c r="G56" s="738"/>
      <c r="H56" s="857">
        <f t="shared" si="8"/>
        <v>567878</v>
      </c>
      <c r="I56" s="857">
        <f t="shared" si="9"/>
        <v>365007</v>
      </c>
      <c r="J56" s="750"/>
      <c r="K56" s="742"/>
    </row>
    <row r="57" spans="1:11">
      <c r="A57" s="871">
        <v>1252.5999979387229</v>
      </c>
      <c r="B57" s="105">
        <v>894.26699793872285</v>
      </c>
      <c r="C57" s="287"/>
      <c r="D57" s="287" t="s">
        <v>62</v>
      </c>
      <c r="E57" s="287"/>
      <c r="F57" s="759">
        <v>877</v>
      </c>
      <c r="G57" s="738"/>
      <c r="H57" s="857">
        <f t="shared" si="8"/>
        <v>1252600</v>
      </c>
      <c r="I57" s="857">
        <f t="shared" si="9"/>
        <v>894267</v>
      </c>
      <c r="J57" s="750"/>
      <c r="K57" s="742"/>
    </row>
    <row r="58" spans="1:11">
      <c r="A58" s="871">
        <v>4604.2444633634159</v>
      </c>
      <c r="B58" s="105">
        <v>3498.9970633634157</v>
      </c>
      <c r="C58" s="287"/>
      <c r="D58" s="287" t="s">
        <v>63</v>
      </c>
      <c r="E58" s="743"/>
      <c r="F58" s="759">
        <v>878</v>
      </c>
      <c r="G58" s="745"/>
      <c r="H58" s="857">
        <f t="shared" si="8"/>
        <v>4604244</v>
      </c>
      <c r="I58" s="857">
        <f t="shared" si="9"/>
        <v>3498997</v>
      </c>
      <c r="J58" s="750"/>
      <c r="K58" s="742"/>
    </row>
    <row r="59" spans="1:11">
      <c r="A59" s="871">
        <v>1957.1597393235249</v>
      </c>
      <c r="B59" s="105">
        <v>1533.029139323525</v>
      </c>
      <c r="C59" s="736"/>
      <c r="D59" s="287" t="s">
        <v>64</v>
      </c>
      <c r="E59" s="743"/>
      <c r="F59" s="759">
        <v>879</v>
      </c>
      <c r="G59" s="745"/>
      <c r="H59" s="857">
        <f t="shared" si="8"/>
        <v>1957160</v>
      </c>
      <c r="I59" s="857">
        <f t="shared" si="9"/>
        <v>1533029</v>
      </c>
      <c r="J59" s="750"/>
      <c r="K59" s="742"/>
    </row>
    <row r="60" spans="1:11">
      <c r="A60" s="871">
        <v>5177.8613261163355</v>
      </c>
      <c r="B60" s="105">
        <v>2835.9011261163355</v>
      </c>
      <c r="C60" s="736"/>
      <c r="D60" s="287" t="s">
        <v>65</v>
      </c>
      <c r="E60" s="743"/>
      <c r="F60" s="759">
        <v>880</v>
      </c>
      <c r="G60" s="745"/>
      <c r="H60" s="857">
        <f t="shared" si="8"/>
        <v>5177861</v>
      </c>
      <c r="I60" s="857">
        <f t="shared" si="9"/>
        <v>2835901</v>
      </c>
      <c r="J60" s="750"/>
      <c r="K60" s="742"/>
    </row>
    <row r="61" spans="1:11">
      <c r="A61" s="871">
        <v>239.65072448278474</v>
      </c>
      <c r="B61" s="105">
        <v>3.0417244827847716</v>
      </c>
      <c r="C61" s="736"/>
      <c r="D61" s="287" t="s">
        <v>66</v>
      </c>
      <c r="E61" s="743"/>
      <c r="F61" s="759">
        <v>881</v>
      </c>
      <c r="G61" s="745"/>
      <c r="H61" s="857">
        <f t="shared" si="8"/>
        <v>239651</v>
      </c>
      <c r="I61" s="857">
        <f t="shared" si="9"/>
        <v>3042</v>
      </c>
      <c r="J61" s="750"/>
      <c r="K61" s="742"/>
    </row>
    <row r="62" spans="1:11">
      <c r="A62" s="860">
        <f>SUM(A50:A61)</f>
        <v>47363.525444017141</v>
      </c>
      <c r="B62" s="860">
        <f>SUM(B50:B61)</f>
        <v>26058.45364401714</v>
      </c>
      <c r="C62" s="736"/>
      <c r="D62" s="759" t="s">
        <v>67</v>
      </c>
      <c r="E62" s="743"/>
      <c r="F62" s="759"/>
      <c r="G62" s="745"/>
      <c r="H62" s="860">
        <f>SUM(H50:H61)</f>
        <v>47363525</v>
      </c>
      <c r="I62" s="860">
        <f>SUM(I50:I61)</f>
        <v>26058453</v>
      </c>
      <c r="J62" s="758"/>
      <c r="K62" s="742"/>
    </row>
    <row r="63" spans="1:11">
      <c r="A63" s="760"/>
      <c r="B63" s="741"/>
      <c r="C63" s="736"/>
      <c r="D63" s="287"/>
      <c r="E63" s="287"/>
      <c r="F63" s="738"/>
      <c r="G63" s="738"/>
      <c r="H63" s="760"/>
      <c r="I63" s="741"/>
      <c r="J63" s="760"/>
      <c r="K63" s="742"/>
    </row>
    <row r="64" spans="1:11" ht="12.75" customHeight="1">
      <c r="A64" s="767"/>
      <c r="B64" s="741"/>
      <c r="C64" s="736" t="s">
        <v>68</v>
      </c>
      <c r="D64" s="287"/>
      <c r="E64" s="740"/>
      <c r="F64" s="759"/>
      <c r="G64" s="745"/>
      <c r="H64" s="767"/>
      <c r="I64" s="741"/>
      <c r="J64" s="767"/>
      <c r="K64" s="742"/>
    </row>
    <row r="65" spans="1:11">
      <c r="A65" s="857">
        <v>2246.4781527749128</v>
      </c>
      <c r="B65" s="105">
        <v>1894.9943527749128</v>
      </c>
      <c r="C65" s="736"/>
      <c r="D65" s="740" t="s">
        <v>69</v>
      </c>
      <c r="E65" s="740"/>
      <c r="F65" s="744">
        <v>885</v>
      </c>
      <c r="G65" s="745"/>
      <c r="H65" s="857">
        <f>ROUND(+A65*1000,0)</f>
        <v>2246478</v>
      </c>
      <c r="I65" s="857">
        <f>ROUND(+B65*1000,0)</f>
        <v>1894994</v>
      </c>
      <c r="J65" s="750"/>
      <c r="K65" s="742"/>
    </row>
    <row r="66" spans="1:11">
      <c r="A66" s="857">
        <v>26.065589770210828</v>
      </c>
      <c r="B66" s="105">
        <v>11.15298977021083</v>
      </c>
      <c r="C66" s="736"/>
      <c r="D66" s="740" t="s">
        <v>70</v>
      </c>
      <c r="E66" s="740"/>
      <c r="F66" s="744">
        <v>886</v>
      </c>
      <c r="G66" s="745"/>
      <c r="H66" s="857">
        <f t="shared" ref="H66:H75" si="10">ROUND(+A66*1000,0)</f>
        <v>26066</v>
      </c>
      <c r="I66" s="857">
        <f t="shared" ref="I66:I75" si="11">ROUND(+B66*1000,0)</f>
        <v>11153</v>
      </c>
      <c r="J66" s="750"/>
      <c r="K66" s="742"/>
    </row>
    <row r="67" spans="1:11">
      <c r="A67" s="857">
        <v>16605.501415207036</v>
      </c>
      <c r="B67" s="105">
        <v>4027.2432152070378</v>
      </c>
      <c r="C67" s="736"/>
      <c r="D67" s="740" t="s">
        <v>71</v>
      </c>
      <c r="E67" s="740"/>
      <c r="F67" s="744">
        <v>887</v>
      </c>
      <c r="G67" s="745"/>
      <c r="H67" s="857">
        <f t="shared" si="10"/>
        <v>16605501</v>
      </c>
      <c r="I67" s="857">
        <f t="shared" si="11"/>
        <v>4027243</v>
      </c>
      <c r="J67" s="750"/>
      <c r="K67" s="742"/>
    </row>
    <row r="68" spans="1:11">
      <c r="A68" s="857">
        <v>0</v>
      </c>
      <c r="B68" s="105">
        <v>0</v>
      </c>
      <c r="C68" s="736"/>
      <c r="D68" s="740" t="s">
        <v>412</v>
      </c>
      <c r="E68" s="740"/>
      <c r="F68" s="744">
        <v>888</v>
      </c>
      <c r="G68" s="745"/>
      <c r="H68" s="857">
        <f t="shared" si="10"/>
        <v>0</v>
      </c>
      <c r="I68" s="857">
        <f t="shared" si="11"/>
        <v>0</v>
      </c>
      <c r="J68" s="750"/>
      <c r="K68" s="742"/>
    </row>
    <row r="69" spans="1:11">
      <c r="A69" s="857">
        <v>1396.0608025345061</v>
      </c>
      <c r="B69" s="105">
        <v>671.20720253450634</v>
      </c>
      <c r="C69" s="736"/>
      <c r="D69" s="740" t="s">
        <v>72</v>
      </c>
      <c r="E69" s="740"/>
      <c r="F69" s="744">
        <v>889</v>
      </c>
      <c r="G69" s="745"/>
      <c r="H69" s="857">
        <f t="shared" si="10"/>
        <v>1396061</v>
      </c>
      <c r="I69" s="857">
        <f t="shared" si="11"/>
        <v>671207</v>
      </c>
      <c r="J69" s="750"/>
      <c r="K69" s="742"/>
    </row>
    <row r="70" spans="1:11">
      <c r="A70" s="857">
        <v>553.34174425527078</v>
      </c>
      <c r="B70" s="105">
        <v>278.82474425527073</v>
      </c>
      <c r="C70" s="736"/>
      <c r="D70" s="740" t="s">
        <v>73</v>
      </c>
      <c r="E70" s="740"/>
      <c r="F70" s="744">
        <v>890</v>
      </c>
      <c r="G70" s="745"/>
      <c r="H70" s="857">
        <f t="shared" si="10"/>
        <v>553342</v>
      </c>
      <c r="I70" s="857">
        <f t="shared" si="11"/>
        <v>278825</v>
      </c>
      <c r="J70" s="750"/>
      <c r="K70" s="742"/>
    </row>
    <row r="71" spans="1:11">
      <c r="A71" s="857">
        <v>1064.9903009237071</v>
      </c>
      <c r="B71" s="105">
        <v>484.64810092370698</v>
      </c>
      <c r="C71" s="736"/>
      <c r="D71" s="740" t="s">
        <v>74</v>
      </c>
      <c r="E71" s="740"/>
      <c r="F71" s="744">
        <v>891</v>
      </c>
      <c r="G71" s="745"/>
      <c r="H71" s="857">
        <f t="shared" si="10"/>
        <v>1064990</v>
      </c>
      <c r="I71" s="857">
        <f t="shared" si="11"/>
        <v>484648</v>
      </c>
      <c r="J71" s="750"/>
      <c r="K71" s="742"/>
    </row>
    <row r="72" spans="1:11">
      <c r="A72" s="857">
        <v>4881.5372573631121</v>
      </c>
      <c r="B72" s="105">
        <v>789.83445736311239</v>
      </c>
      <c r="C72" s="736"/>
      <c r="D72" s="740" t="s">
        <v>75</v>
      </c>
      <c r="E72" s="740"/>
      <c r="F72" s="744">
        <v>892</v>
      </c>
      <c r="G72" s="745"/>
      <c r="H72" s="857">
        <f t="shared" si="10"/>
        <v>4881537</v>
      </c>
      <c r="I72" s="857">
        <f t="shared" si="11"/>
        <v>789834</v>
      </c>
      <c r="J72" s="750"/>
      <c r="K72" s="742"/>
    </row>
    <row r="73" spans="1:11">
      <c r="A73" s="857">
        <v>2199.4200201236163</v>
      </c>
      <c r="B73" s="105">
        <v>1008.838620123616</v>
      </c>
      <c r="C73" s="736"/>
      <c r="D73" s="740" t="s">
        <v>76</v>
      </c>
      <c r="E73" s="740"/>
      <c r="F73" s="744">
        <v>893</v>
      </c>
      <c r="G73" s="745"/>
      <c r="H73" s="857">
        <f t="shared" si="10"/>
        <v>2199420</v>
      </c>
      <c r="I73" s="857">
        <f t="shared" si="11"/>
        <v>1008839</v>
      </c>
      <c r="J73" s="750"/>
      <c r="K73" s="742"/>
    </row>
    <row r="74" spans="1:11">
      <c r="A74" s="857">
        <v>788.72712575003789</v>
      </c>
      <c r="B74" s="105">
        <v>338.6453257500379</v>
      </c>
      <c r="C74" s="736"/>
      <c r="D74" s="740" t="s">
        <v>77</v>
      </c>
      <c r="E74" s="740"/>
      <c r="F74" s="744">
        <v>894</v>
      </c>
      <c r="G74" s="745"/>
      <c r="H74" s="857">
        <f t="shared" si="10"/>
        <v>788727</v>
      </c>
      <c r="I74" s="857">
        <f t="shared" si="11"/>
        <v>338645</v>
      </c>
      <c r="J74" s="750"/>
      <c r="K74" s="742"/>
    </row>
    <row r="75" spans="1:11">
      <c r="A75" s="857">
        <v>0</v>
      </c>
      <c r="B75" s="105">
        <v>0</v>
      </c>
      <c r="C75" s="736"/>
      <c r="D75" s="740" t="s">
        <v>413</v>
      </c>
      <c r="E75" s="740"/>
      <c r="F75" s="744">
        <v>895</v>
      </c>
      <c r="G75" s="745"/>
      <c r="H75" s="857">
        <f t="shared" si="10"/>
        <v>0</v>
      </c>
      <c r="I75" s="857">
        <f t="shared" si="11"/>
        <v>0</v>
      </c>
      <c r="J75" s="750"/>
      <c r="K75" s="742"/>
    </row>
    <row r="76" spans="1:11">
      <c r="A76" s="872">
        <f>SUM(A65:A75)</f>
        <v>29762.122408702409</v>
      </c>
      <c r="B76" s="872">
        <f>SUM(B65:B75)</f>
        <v>9505.389008702412</v>
      </c>
      <c r="C76" s="769"/>
      <c r="D76" s="744" t="s">
        <v>78</v>
      </c>
      <c r="E76" s="740"/>
      <c r="F76" s="744"/>
      <c r="G76" s="745"/>
      <c r="H76" s="872">
        <f>SUM(H65:H75)</f>
        <v>29762122</v>
      </c>
      <c r="I76" s="872">
        <f>SUM(I65:I75)</f>
        <v>9505388</v>
      </c>
      <c r="J76" s="768"/>
      <c r="K76" s="742"/>
    </row>
    <row r="77" spans="1:11">
      <c r="A77" s="859"/>
      <c r="B77" s="859"/>
      <c r="C77" s="736"/>
      <c r="D77" s="744"/>
      <c r="E77" s="740"/>
      <c r="F77" s="744"/>
      <c r="G77" s="745"/>
      <c r="H77" s="859"/>
      <c r="I77" s="859"/>
      <c r="J77" s="740"/>
      <c r="K77" s="742"/>
    </row>
    <row r="78" spans="1:11">
      <c r="A78" s="872">
        <f>+A76+A62</f>
        <v>77125.647852719558</v>
      </c>
      <c r="B78" s="872">
        <f>+B76+B62</f>
        <v>35563.842652719555</v>
      </c>
      <c r="C78" s="736"/>
      <c r="D78" s="744" t="s">
        <v>79</v>
      </c>
      <c r="E78" s="740"/>
      <c r="F78" s="744"/>
      <c r="G78" s="745"/>
      <c r="H78" s="872">
        <f>+H76+H62</f>
        <v>77125647</v>
      </c>
      <c r="I78" s="872">
        <f>+I76+I62</f>
        <v>35563841</v>
      </c>
      <c r="J78" s="768"/>
      <c r="K78" s="742"/>
    </row>
    <row r="79" spans="1:11">
      <c r="A79" s="738"/>
      <c r="B79" s="741"/>
      <c r="C79" s="736"/>
      <c r="D79" s="287"/>
      <c r="E79" s="287"/>
      <c r="F79" s="753"/>
      <c r="G79" s="738"/>
      <c r="H79" s="738"/>
      <c r="I79" s="741"/>
      <c r="J79" s="738"/>
      <c r="K79" s="742"/>
    </row>
    <row r="80" spans="1:11">
      <c r="A80" s="740"/>
      <c r="B80" s="741"/>
      <c r="C80" s="736" t="s">
        <v>80</v>
      </c>
      <c r="D80" s="740"/>
      <c r="E80" s="740"/>
      <c r="F80" s="740"/>
      <c r="G80" s="745"/>
      <c r="H80" s="740"/>
      <c r="I80" s="741"/>
      <c r="J80" s="740"/>
      <c r="K80" s="742"/>
    </row>
    <row r="81" spans="1:13" s="104" customFormat="1">
      <c r="A81" s="857">
        <v>831.89547023433943</v>
      </c>
      <c r="B81" s="105">
        <v>518.1070702343394</v>
      </c>
      <c r="C81" s="769"/>
      <c r="D81" s="740" t="s">
        <v>167</v>
      </c>
      <c r="E81" s="740"/>
      <c r="F81" s="744">
        <v>901</v>
      </c>
      <c r="G81" s="745"/>
      <c r="H81" s="857">
        <f>ROUND(+A81*1000,0)</f>
        <v>831895</v>
      </c>
      <c r="I81" s="857">
        <f>ROUND(+B81*1000,0)</f>
        <v>518107</v>
      </c>
      <c r="J81" s="750"/>
      <c r="K81" s="765"/>
      <c r="M81" s="126"/>
    </row>
    <row r="82" spans="1:13" s="104" customFormat="1">
      <c r="A82" s="857">
        <v>2601.1122709365995</v>
      </c>
      <c r="B82" s="105">
        <v>1984.2182709365993</v>
      </c>
      <c r="C82" s="769"/>
      <c r="D82" s="740" t="s">
        <v>81</v>
      </c>
      <c r="E82" s="740"/>
      <c r="F82" s="744">
        <v>902</v>
      </c>
      <c r="G82" s="745"/>
      <c r="H82" s="857">
        <f t="shared" ref="H82:H85" si="12">ROUND(+A82*1000,0)</f>
        <v>2601112</v>
      </c>
      <c r="I82" s="857">
        <f t="shared" ref="I82:I85" si="13">ROUND(+B82*1000,0)</f>
        <v>1984218</v>
      </c>
      <c r="J82" s="750"/>
      <c r="K82" s="765"/>
      <c r="M82" s="126"/>
    </row>
    <row r="83" spans="1:13" s="104" customFormat="1">
      <c r="A83" s="857">
        <v>27261.710681593355</v>
      </c>
      <c r="B83" s="105">
        <v>11527.121881593357</v>
      </c>
      <c r="C83" s="769"/>
      <c r="D83" s="740" t="s">
        <v>82</v>
      </c>
      <c r="E83" s="740"/>
      <c r="F83" s="744">
        <v>903</v>
      </c>
      <c r="G83" s="745"/>
      <c r="H83" s="857">
        <f t="shared" si="12"/>
        <v>27261711</v>
      </c>
      <c r="I83" s="857">
        <f t="shared" si="13"/>
        <v>11527122</v>
      </c>
      <c r="J83" s="750"/>
      <c r="K83" s="765"/>
      <c r="M83" s="126"/>
    </row>
    <row r="84" spans="1:13" s="104" customFormat="1">
      <c r="A84" s="857">
        <v>10773.35204</v>
      </c>
      <c r="B84" s="105">
        <v>0</v>
      </c>
      <c r="C84" s="769"/>
      <c r="D84" s="740" t="s">
        <v>616</v>
      </c>
      <c r="E84" s="740"/>
      <c r="F84" s="744">
        <v>904</v>
      </c>
      <c r="G84" s="745"/>
      <c r="H84" s="857">
        <f t="shared" si="12"/>
        <v>10773352</v>
      </c>
      <c r="I84" s="857">
        <f t="shared" si="13"/>
        <v>0</v>
      </c>
      <c r="J84" s="750"/>
      <c r="K84" s="765"/>
      <c r="L84" s="126"/>
      <c r="M84" s="126"/>
    </row>
    <row r="85" spans="1:13" s="104" customFormat="1">
      <c r="A85" s="857">
        <v>3464.7218555308664</v>
      </c>
      <c r="B85" s="105">
        <v>1584.7384555308661</v>
      </c>
      <c r="C85" s="769"/>
      <c r="D85" s="740" t="s">
        <v>83</v>
      </c>
      <c r="E85" s="740"/>
      <c r="F85" s="744">
        <v>905</v>
      </c>
      <c r="G85" s="745"/>
      <c r="H85" s="857">
        <f t="shared" si="12"/>
        <v>3464722</v>
      </c>
      <c r="I85" s="857">
        <f t="shared" si="13"/>
        <v>1584738</v>
      </c>
      <c r="J85" s="750"/>
      <c r="K85" s="765"/>
      <c r="M85" s="126"/>
    </row>
    <row r="86" spans="1:13" s="104" customFormat="1">
      <c r="A86" s="872">
        <f>SUM(A81:A85)</f>
        <v>44932.792318295156</v>
      </c>
      <c r="B86" s="872">
        <f>SUM(B81:B85)</f>
        <v>15614.185678295162</v>
      </c>
      <c r="C86" s="769"/>
      <c r="D86" s="744" t="s">
        <v>84</v>
      </c>
      <c r="E86" s="740"/>
      <c r="F86" s="744"/>
      <c r="G86" s="745"/>
      <c r="H86" s="872">
        <f>SUM(H81:H85)</f>
        <v>44932792</v>
      </c>
      <c r="I86" s="872">
        <f>SUM(I81:I85)</f>
        <v>15614185</v>
      </c>
      <c r="J86" s="768"/>
      <c r="K86" s="765"/>
      <c r="M86" s="126"/>
    </row>
    <row r="87" spans="1:13" s="104" customFormat="1">
      <c r="A87" s="740"/>
      <c r="B87" s="741"/>
      <c r="C87" s="769"/>
      <c r="D87" s="740"/>
      <c r="E87" s="740"/>
      <c r="F87" s="744"/>
      <c r="G87" s="745"/>
      <c r="H87" s="740"/>
      <c r="I87" s="741"/>
      <c r="J87" s="740"/>
      <c r="K87" s="765"/>
      <c r="M87" s="126"/>
    </row>
    <row r="88" spans="1:13" s="104" customFormat="1">
      <c r="A88" s="740"/>
      <c r="B88" s="741"/>
      <c r="C88" s="769" t="s">
        <v>85</v>
      </c>
      <c r="D88" s="740"/>
      <c r="E88" s="740"/>
      <c r="F88" s="744"/>
      <c r="G88" s="745"/>
      <c r="H88" s="740"/>
      <c r="I88" s="741"/>
      <c r="J88" s="740"/>
      <c r="K88" s="765"/>
      <c r="M88" s="126"/>
    </row>
    <row r="89" spans="1:13" s="104" customFormat="1">
      <c r="A89" s="857">
        <v>198.52359954193841</v>
      </c>
      <c r="B89" s="105">
        <v>198.72599954193842</v>
      </c>
      <c r="C89" s="769"/>
      <c r="D89" s="740" t="s">
        <v>167</v>
      </c>
      <c r="E89" s="740"/>
      <c r="F89" s="744">
        <v>907</v>
      </c>
      <c r="G89" s="745"/>
      <c r="H89" s="857">
        <f>ROUND(+A89*1000,0)</f>
        <v>198524</v>
      </c>
      <c r="I89" s="857">
        <f>ROUND(+B89*1000,0)</f>
        <v>198726</v>
      </c>
      <c r="J89" s="750"/>
      <c r="K89" s="765"/>
      <c r="M89" s="126"/>
    </row>
    <row r="90" spans="1:13" s="104" customFormat="1">
      <c r="A90" s="857">
        <v>1635.5588559889277</v>
      </c>
      <c r="B90" s="105">
        <v>1386.0124559889277</v>
      </c>
      <c r="C90" s="769"/>
      <c r="D90" s="740" t="s">
        <v>86</v>
      </c>
      <c r="E90" s="740"/>
      <c r="F90" s="744">
        <v>908</v>
      </c>
      <c r="G90" s="745"/>
      <c r="H90" s="857">
        <f t="shared" ref="H90:H92" si="14">ROUND(+A90*1000,0)</f>
        <v>1635559</v>
      </c>
      <c r="I90" s="857">
        <f t="shared" ref="I90:I92" si="15">ROUND(+B90*1000,0)</f>
        <v>1386012</v>
      </c>
      <c r="J90" s="750"/>
      <c r="K90" s="765"/>
      <c r="L90" s="112"/>
      <c r="M90" s="126"/>
    </row>
    <row r="91" spans="1:13" s="222" customFormat="1">
      <c r="A91" s="857">
        <v>1327.0984000000001</v>
      </c>
      <c r="B91" s="105">
        <v>0</v>
      </c>
      <c r="C91" s="769"/>
      <c r="D91" s="740" t="s">
        <v>373</v>
      </c>
      <c r="E91" s="740"/>
      <c r="F91" s="744">
        <v>909</v>
      </c>
      <c r="G91" s="745"/>
      <c r="H91" s="857">
        <f t="shared" si="14"/>
        <v>1327098</v>
      </c>
      <c r="I91" s="857">
        <f t="shared" si="15"/>
        <v>0</v>
      </c>
      <c r="J91" s="750"/>
      <c r="K91" s="765"/>
      <c r="L91" s="245"/>
      <c r="M91" s="248"/>
    </row>
    <row r="92" spans="1:13">
      <c r="A92" s="857">
        <v>2305.7230034506301</v>
      </c>
      <c r="B92" s="105">
        <v>273.75520345062944</v>
      </c>
      <c r="C92" s="736"/>
      <c r="D92" s="740" t="s">
        <v>87</v>
      </c>
      <c r="E92" s="740"/>
      <c r="F92" s="744">
        <v>910</v>
      </c>
      <c r="G92" s="745"/>
      <c r="H92" s="857">
        <f t="shared" si="14"/>
        <v>2305723</v>
      </c>
      <c r="I92" s="857">
        <f t="shared" si="15"/>
        <v>273755</v>
      </c>
      <c r="J92" s="750"/>
      <c r="K92" s="742"/>
    </row>
    <row r="93" spans="1:13">
      <c r="A93" s="872">
        <f>SUM(A89:A92)</f>
        <v>5466.9038589814963</v>
      </c>
      <c r="B93" s="872">
        <f>SUM(B89:B92)</f>
        <v>1858.4936589814956</v>
      </c>
      <c r="C93" s="736"/>
      <c r="D93" s="744" t="s">
        <v>88</v>
      </c>
      <c r="E93" s="740"/>
      <c r="F93" s="744"/>
      <c r="G93" s="745"/>
      <c r="H93" s="872">
        <f>SUM(H89:H92)</f>
        <v>5466904</v>
      </c>
      <c r="I93" s="872">
        <f>SUM(I89:I92)</f>
        <v>1858493</v>
      </c>
      <c r="J93" s="768"/>
      <c r="K93" s="742"/>
    </row>
    <row r="94" spans="1:13">
      <c r="A94" s="740"/>
      <c r="B94" s="741"/>
      <c r="C94" s="736"/>
      <c r="D94" s="740"/>
      <c r="E94" s="740"/>
      <c r="F94" s="744"/>
      <c r="G94" s="745"/>
      <c r="H94" s="740"/>
      <c r="I94" s="741"/>
      <c r="J94" s="740"/>
      <c r="K94" s="742"/>
    </row>
    <row r="95" spans="1:13" s="104" customFormat="1">
      <c r="A95" s="740"/>
      <c r="B95" s="741"/>
      <c r="C95" s="769" t="s">
        <v>235</v>
      </c>
      <c r="D95" s="740"/>
      <c r="E95" s="740"/>
      <c r="F95" s="744"/>
      <c r="G95" s="745"/>
      <c r="H95" s="740"/>
      <c r="I95" s="741"/>
      <c r="J95" s="740"/>
      <c r="K95" s="765"/>
      <c r="M95" s="126"/>
    </row>
    <row r="96" spans="1:13" s="104" customFormat="1">
      <c r="A96" s="857">
        <v>54.502640690125887</v>
      </c>
      <c r="B96" s="105">
        <v>54.75104069012589</v>
      </c>
      <c r="C96" s="769"/>
      <c r="D96" s="740" t="s">
        <v>167</v>
      </c>
      <c r="E96" s="740"/>
      <c r="F96" s="744">
        <v>911</v>
      </c>
      <c r="G96" s="745"/>
      <c r="H96" s="857">
        <f>ROUND(+A96*1000,0)</f>
        <v>54503</v>
      </c>
      <c r="I96" s="857">
        <f>ROUND(+B96*1000,0)</f>
        <v>54751</v>
      </c>
      <c r="J96" s="750"/>
      <c r="K96" s="765"/>
      <c r="M96" s="126"/>
    </row>
    <row r="97" spans="1:13" s="104" customFormat="1">
      <c r="A97" s="857">
        <v>1838.0158025345063</v>
      </c>
      <c r="B97" s="105">
        <v>671.20720253450634</v>
      </c>
      <c r="C97" s="769"/>
      <c r="D97" s="740" t="s">
        <v>89</v>
      </c>
      <c r="E97" s="740"/>
      <c r="F97" s="744">
        <v>912</v>
      </c>
      <c r="G97" s="745"/>
      <c r="H97" s="857">
        <f t="shared" ref="H97:H101" si="16">ROUND(+A97*1000,0)</f>
        <v>1838016</v>
      </c>
      <c r="I97" s="857">
        <f t="shared" ref="I97:I101" si="17">ROUND(+B97*1000,0)</f>
        <v>671207</v>
      </c>
      <c r="J97" s="750"/>
      <c r="K97" s="765"/>
      <c r="M97" s="126"/>
    </row>
    <row r="98" spans="1:13" s="104" customFormat="1">
      <c r="A98" s="857">
        <v>440.68259999999998</v>
      </c>
      <c r="B98" s="105">
        <v>0</v>
      </c>
      <c r="C98" s="769"/>
      <c r="D98" s="740" t="s">
        <v>90</v>
      </c>
      <c r="E98" s="740"/>
      <c r="F98" s="744">
        <v>913</v>
      </c>
      <c r="G98" s="745"/>
      <c r="H98" s="857">
        <f t="shared" si="16"/>
        <v>440683</v>
      </c>
      <c r="I98" s="857">
        <f t="shared" si="17"/>
        <v>0</v>
      </c>
      <c r="J98" s="750"/>
      <c r="K98" s="765"/>
      <c r="M98" s="126"/>
    </row>
    <row r="99" spans="1:13" s="104" customFormat="1">
      <c r="A99" s="857">
        <v>0</v>
      </c>
      <c r="B99" s="105">
        <v>0</v>
      </c>
      <c r="C99" s="769"/>
      <c r="D99" s="873" t="s">
        <v>787</v>
      </c>
      <c r="E99" s="740"/>
      <c r="F99" s="744">
        <v>914</v>
      </c>
      <c r="G99" s="745"/>
      <c r="H99" s="857">
        <f t="shared" si="16"/>
        <v>0</v>
      </c>
      <c r="I99" s="857">
        <f t="shared" si="17"/>
        <v>0</v>
      </c>
      <c r="J99" s="750"/>
      <c r="K99" s="765"/>
      <c r="M99" s="126"/>
    </row>
    <row r="100" spans="1:13" s="104" customFormat="1">
      <c r="A100" s="857">
        <v>0</v>
      </c>
      <c r="B100" s="105">
        <v>0</v>
      </c>
      <c r="C100" s="769"/>
      <c r="D100" s="873" t="s">
        <v>787</v>
      </c>
      <c r="E100" s="740"/>
      <c r="F100" s="744">
        <v>915</v>
      </c>
      <c r="G100" s="745"/>
      <c r="H100" s="857">
        <f t="shared" si="16"/>
        <v>0</v>
      </c>
      <c r="I100" s="857">
        <f t="shared" si="17"/>
        <v>0</v>
      </c>
      <c r="J100" s="750"/>
      <c r="K100" s="765"/>
      <c r="M100" s="126"/>
    </row>
    <row r="101" spans="1:13" s="104" customFormat="1">
      <c r="A101" s="857">
        <v>198.90799999999999</v>
      </c>
      <c r="B101" s="105">
        <v>0</v>
      </c>
      <c r="C101" s="769"/>
      <c r="D101" s="740" t="s">
        <v>91</v>
      </c>
      <c r="E101" s="740"/>
      <c r="F101" s="744">
        <v>916</v>
      </c>
      <c r="G101" s="745"/>
      <c r="H101" s="857">
        <f t="shared" si="16"/>
        <v>198908</v>
      </c>
      <c r="I101" s="857">
        <f t="shared" si="17"/>
        <v>0</v>
      </c>
      <c r="J101" s="750"/>
      <c r="K101" s="765"/>
      <c r="M101" s="126"/>
    </row>
    <row r="102" spans="1:13" s="104" customFormat="1">
      <c r="A102" s="872">
        <f>SUM(A96:A101)</f>
        <v>2532.1090432246319</v>
      </c>
      <c r="B102" s="872">
        <f>SUM(B96:B101)</f>
        <v>725.95824322463227</v>
      </c>
      <c r="C102" s="769"/>
      <c r="D102" s="744" t="s">
        <v>92</v>
      </c>
      <c r="E102" s="740"/>
      <c r="F102" s="744"/>
      <c r="G102" s="745"/>
      <c r="H102" s="872">
        <f>SUM(H96:H101)</f>
        <v>2532110</v>
      </c>
      <c r="I102" s="872">
        <f>SUM(I96:I101)</f>
        <v>725958</v>
      </c>
      <c r="J102" s="768"/>
      <c r="K102" s="765"/>
      <c r="M102" s="126"/>
    </row>
    <row r="103" spans="1:13" s="104" customFormat="1">
      <c r="A103" s="740"/>
      <c r="B103" s="741"/>
      <c r="C103" s="769"/>
      <c r="D103" s="740"/>
      <c r="E103" s="740"/>
      <c r="F103" s="744"/>
      <c r="G103" s="745"/>
      <c r="H103" s="740"/>
      <c r="I103" s="741"/>
      <c r="J103" s="740"/>
      <c r="K103" s="765"/>
      <c r="M103" s="126"/>
    </row>
    <row r="104" spans="1:13" s="104" customFormat="1">
      <c r="A104" s="740"/>
      <c r="B104" s="741"/>
      <c r="C104" s="769" t="s">
        <v>93</v>
      </c>
      <c r="D104" s="740"/>
      <c r="E104" s="740"/>
      <c r="F104" s="744"/>
      <c r="G104" s="745"/>
      <c r="H104" s="740"/>
      <c r="I104" s="741"/>
      <c r="J104" s="740"/>
      <c r="K104" s="765"/>
      <c r="M104" s="126"/>
    </row>
    <row r="105" spans="1:13" s="104" customFormat="1">
      <c r="A105" s="740"/>
      <c r="B105" s="741"/>
      <c r="C105" s="769" t="s">
        <v>206</v>
      </c>
      <c r="D105" s="740"/>
      <c r="E105" s="740"/>
      <c r="F105" s="744"/>
      <c r="G105" s="745"/>
      <c r="H105" s="740"/>
      <c r="I105" s="741"/>
      <c r="J105" s="740"/>
      <c r="K105" s="765"/>
      <c r="M105" s="126"/>
    </row>
    <row r="106" spans="1:13" s="104" customFormat="1">
      <c r="A106" s="871">
        <v>20687.368951659337</v>
      </c>
      <c r="B106" s="105">
        <v>19201.392751659336</v>
      </c>
      <c r="C106" s="769"/>
      <c r="D106" s="740" t="s">
        <v>94</v>
      </c>
      <c r="E106" s="740"/>
      <c r="F106" s="744">
        <v>920</v>
      </c>
      <c r="G106" s="745"/>
      <c r="H106" s="857">
        <f>ROUND(+A106*1000,0)</f>
        <v>20687369</v>
      </c>
      <c r="I106" s="857">
        <f>ROUND(+B106*1000,0)</f>
        <v>19201393</v>
      </c>
      <c r="J106" s="750"/>
      <c r="K106" s="765"/>
      <c r="M106" s="126"/>
    </row>
    <row r="107" spans="1:13" s="104" customFormat="1">
      <c r="A107" s="871">
        <v>26248.412946667675</v>
      </c>
      <c r="B107" s="105">
        <v>117.61334666767785</v>
      </c>
      <c r="C107" s="769"/>
      <c r="D107" s="740" t="s">
        <v>95</v>
      </c>
      <c r="E107" s="740"/>
      <c r="F107" s="744">
        <v>921</v>
      </c>
      <c r="G107" s="745"/>
      <c r="H107" s="857">
        <f t="shared" ref="H107:H118" si="18">ROUND(+A107*1000,0)</f>
        <v>26248413</v>
      </c>
      <c r="I107" s="857">
        <f t="shared" ref="I107:I118" si="19">ROUND(+B107*1000,0)</f>
        <v>117613</v>
      </c>
      <c r="J107" s="750"/>
      <c r="K107" s="765"/>
      <c r="M107" s="126"/>
    </row>
    <row r="108" spans="1:13" s="104" customFormat="1">
      <c r="A108" s="871">
        <v>0</v>
      </c>
      <c r="B108" s="105">
        <v>0</v>
      </c>
      <c r="C108" s="769"/>
      <c r="D108" s="874" t="s">
        <v>788</v>
      </c>
      <c r="E108" s="740"/>
      <c r="F108" s="744">
        <v>922</v>
      </c>
      <c r="G108" s="745"/>
      <c r="H108" s="857">
        <f t="shared" si="18"/>
        <v>0</v>
      </c>
      <c r="I108" s="857">
        <f t="shared" si="19"/>
        <v>0</v>
      </c>
      <c r="J108" s="750"/>
      <c r="K108" s="765"/>
      <c r="M108" s="126"/>
    </row>
    <row r="109" spans="1:13" s="104" customFormat="1">
      <c r="A109" s="871">
        <v>20904.795791724555</v>
      </c>
      <c r="B109" s="105">
        <v>48.667591724556345</v>
      </c>
      <c r="C109" s="769"/>
      <c r="D109" s="740" t="s">
        <v>96</v>
      </c>
      <c r="E109" s="740"/>
      <c r="F109" s="744">
        <v>923</v>
      </c>
      <c r="G109" s="745"/>
      <c r="H109" s="857">
        <f t="shared" si="18"/>
        <v>20904796</v>
      </c>
      <c r="I109" s="857">
        <f t="shared" si="19"/>
        <v>48668</v>
      </c>
      <c r="J109" s="750"/>
      <c r="K109" s="765"/>
      <c r="M109" s="126"/>
    </row>
    <row r="110" spans="1:13" s="104" customFormat="1">
      <c r="A110" s="871">
        <v>179.87119999999999</v>
      </c>
      <c r="B110" s="105">
        <v>0</v>
      </c>
      <c r="C110" s="769"/>
      <c r="D110" s="740" t="s">
        <v>97</v>
      </c>
      <c r="E110" s="740"/>
      <c r="F110" s="744">
        <v>924</v>
      </c>
      <c r="G110" s="745"/>
      <c r="H110" s="857">
        <f t="shared" si="18"/>
        <v>179871</v>
      </c>
      <c r="I110" s="857">
        <f t="shared" si="19"/>
        <v>0</v>
      </c>
      <c r="J110" s="750"/>
      <c r="K110" s="765"/>
      <c r="M110" s="126"/>
    </row>
    <row r="111" spans="1:13" s="104" customFormat="1">
      <c r="A111" s="871">
        <v>8922.9555850674951</v>
      </c>
      <c r="B111" s="105">
        <v>1165.9943850674958</v>
      </c>
      <c r="C111" s="769"/>
      <c r="D111" s="740" t="s">
        <v>98</v>
      </c>
      <c r="E111" s="740"/>
      <c r="F111" s="744">
        <v>925</v>
      </c>
      <c r="G111" s="745"/>
      <c r="H111" s="857">
        <f t="shared" si="18"/>
        <v>8922956</v>
      </c>
      <c r="I111" s="857">
        <f t="shared" si="19"/>
        <v>1165994</v>
      </c>
      <c r="J111" s="750"/>
      <c r="K111" s="765"/>
      <c r="M111" s="126"/>
    </row>
    <row r="112" spans="1:13" s="104" customFormat="1">
      <c r="A112" s="871">
        <v>24492.610027956165</v>
      </c>
      <c r="B112" s="105">
        <v>2923.0972279561656</v>
      </c>
      <c r="C112" s="769"/>
      <c r="D112" s="740" t="s">
        <v>99</v>
      </c>
      <c r="E112" s="740"/>
      <c r="F112" s="744">
        <v>926</v>
      </c>
      <c r="G112" s="745"/>
      <c r="H112" s="857">
        <f t="shared" si="18"/>
        <v>24492610</v>
      </c>
      <c r="I112" s="857">
        <f t="shared" si="19"/>
        <v>2923097</v>
      </c>
      <c r="J112" s="750"/>
      <c r="K112" s="765"/>
      <c r="M112" s="126"/>
    </row>
    <row r="113" spans="1:13" s="104" customFormat="1">
      <c r="A113" s="871">
        <v>0</v>
      </c>
      <c r="B113" s="105">
        <v>0</v>
      </c>
      <c r="C113" s="769"/>
      <c r="D113" s="875" t="s">
        <v>789</v>
      </c>
      <c r="E113" s="740"/>
      <c r="F113" s="744">
        <v>927</v>
      </c>
      <c r="G113" s="745"/>
      <c r="H113" s="857">
        <f t="shared" si="18"/>
        <v>0</v>
      </c>
      <c r="I113" s="857">
        <f t="shared" si="19"/>
        <v>0</v>
      </c>
      <c r="J113" s="750"/>
      <c r="K113" s="765"/>
      <c r="M113" s="126"/>
    </row>
    <row r="114" spans="1:13" s="104" customFormat="1">
      <c r="A114" s="871">
        <v>1378</v>
      </c>
      <c r="B114" s="105">
        <v>0</v>
      </c>
      <c r="C114" s="769"/>
      <c r="D114" s="740" t="s">
        <v>100</v>
      </c>
      <c r="E114" s="740"/>
      <c r="F114" s="744">
        <v>928</v>
      </c>
      <c r="G114" s="745"/>
      <c r="H114" s="857">
        <f t="shared" si="18"/>
        <v>1378000</v>
      </c>
      <c r="I114" s="857">
        <f t="shared" si="19"/>
        <v>0</v>
      </c>
      <c r="J114" s="750"/>
      <c r="K114" s="765"/>
      <c r="M114" s="126"/>
    </row>
    <row r="115" spans="1:13" s="104" customFormat="1">
      <c r="A115" s="871">
        <v>0</v>
      </c>
      <c r="B115" s="105">
        <v>0</v>
      </c>
      <c r="C115" s="769"/>
      <c r="D115" s="875" t="s">
        <v>790</v>
      </c>
      <c r="E115" s="740"/>
      <c r="F115" s="744">
        <v>929</v>
      </c>
      <c r="G115" s="745"/>
      <c r="H115" s="857">
        <f t="shared" si="18"/>
        <v>0</v>
      </c>
      <c r="I115" s="857">
        <f t="shared" si="19"/>
        <v>0</v>
      </c>
      <c r="J115" s="750"/>
      <c r="K115" s="765"/>
      <c r="M115" s="126"/>
    </row>
    <row r="116" spans="1:13" s="104" customFormat="1">
      <c r="A116" s="871">
        <v>674.9126</v>
      </c>
      <c r="B116" s="105">
        <v>0</v>
      </c>
      <c r="C116" s="769"/>
      <c r="D116" s="740" t="s">
        <v>101</v>
      </c>
      <c r="E116" s="740"/>
      <c r="F116" s="744">
        <v>930.1</v>
      </c>
      <c r="G116" s="745"/>
      <c r="H116" s="857">
        <f t="shared" si="18"/>
        <v>674913</v>
      </c>
      <c r="I116" s="857">
        <f t="shared" si="19"/>
        <v>0</v>
      </c>
      <c r="J116" s="750"/>
      <c r="K116" s="765"/>
      <c r="M116" s="126"/>
    </row>
    <row r="117" spans="1:13" s="104" customFormat="1">
      <c r="A117" s="871">
        <v>6426.1952999006517</v>
      </c>
      <c r="B117" s="105">
        <v>1813.8816999006522</v>
      </c>
      <c r="C117" s="769"/>
      <c r="D117" s="740" t="s">
        <v>102</v>
      </c>
      <c r="E117" s="740"/>
      <c r="F117" s="744">
        <v>930.2</v>
      </c>
      <c r="G117" s="745"/>
      <c r="H117" s="857">
        <f t="shared" si="18"/>
        <v>6426195</v>
      </c>
      <c r="I117" s="857">
        <f t="shared" si="19"/>
        <v>1813882</v>
      </c>
      <c r="J117" s="750"/>
      <c r="K117" s="765"/>
      <c r="M117" s="126"/>
    </row>
    <row r="118" spans="1:13" s="104" customFormat="1">
      <c r="A118" s="871">
        <v>497.1628</v>
      </c>
      <c r="B118" s="105">
        <v>0</v>
      </c>
      <c r="C118" s="769"/>
      <c r="D118" s="740" t="s">
        <v>66</v>
      </c>
      <c r="E118" s="740"/>
      <c r="F118" s="744">
        <v>931</v>
      </c>
      <c r="G118" s="745"/>
      <c r="H118" s="857">
        <f t="shared" si="18"/>
        <v>497163</v>
      </c>
      <c r="I118" s="857">
        <f t="shared" si="19"/>
        <v>0</v>
      </c>
      <c r="J118" s="750"/>
      <c r="K118" s="765"/>
      <c r="M118" s="126"/>
    </row>
    <row r="119" spans="1:13" s="104" customFormat="1">
      <c r="A119" s="872">
        <f>SUM(A106:A118)</f>
        <v>110412.28520297587</v>
      </c>
      <c r="B119" s="872">
        <f>SUM(B106:B118)</f>
        <v>25270.647002975882</v>
      </c>
      <c r="C119" s="769"/>
      <c r="D119" s="744" t="s">
        <v>103</v>
      </c>
      <c r="E119" s="740"/>
      <c r="F119" s="744"/>
      <c r="G119" s="745"/>
      <c r="H119" s="872">
        <f>SUM(H106:H118)</f>
        <v>110412286</v>
      </c>
      <c r="I119" s="872">
        <f>SUM(I106:I118)</f>
        <v>25270647</v>
      </c>
      <c r="J119" s="768"/>
      <c r="K119" s="765"/>
      <c r="M119" s="126"/>
    </row>
    <row r="120" spans="1:13" s="104" customFormat="1">
      <c r="A120" s="746"/>
      <c r="B120" s="741"/>
      <c r="C120" s="769"/>
      <c r="D120" s="740"/>
      <c r="E120" s="740"/>
      <c r="F120" s="770"/>
      <c r="G120" s="745"/>
      <c r="H120" s="746"/>
      <c r="I120" s="741"/>
      <c r="J120" s="746"/>
      <c r="K120" s="765"/>
      <c r="M120" s="126"/>
    </row>
    <row r="121" spans="1:13" s="104" customFormat="1">
      <c r="A121" s="740"/>
      <c r="B121" s="741"/>
      <c r="C121" s="769" t="s">
        <v>209</v>
      </c>
      <c r="D121" s="740"/>
      <c r="E121" s="740"/>
      <c r="F121" s="745"/>
      <c r="G121" s="745"/>
      <c r="H121" s="740"/>
      <c r="I121" s="741"/>
      <c r="J121" s="740"/>
      <c r="K121" s="765"/>
      <c r="M121" s="126"/>
    </row>
    <row r="122" spans="1:13" s="104" customFormat="1">
      <c r="A122" s="871">
        <v>4463.6355999999996</v>
      </c>
      <c r="B122" s="105">
        <v>1085</v>
      </c>
      <c r="C122" s="769"/>
      <c r="D122" s="769" t="s">
        <v>104</v>
      </c>
      <c r="E122" s="740"/>
      <c r="F122" s="744">
        <v>932</v>
      </c>
      <c r="G122" s="745"/>
      <c r="H122" s="857">
        <f>ROUND(+A122*1000,0)</f>
        <v>4463636</v>
      </c>
      <c r="I122" s="857">
        <f>ROUND(+B122*1000,0)</f>
        <v>1085000</v>
      </c>
      <c r="J122" s="750"/>
      <c r="K122" s="765"/>
      <c r="M122" s="126"/>
    </row>
    <row r="123" spans="1:13" s="104" customFormat="1">
      <c r="A123" s="871">
        <v>15.9908</v>
      </c>
      <c r="B123" s="105">
        <v>0</v>
      </c>
      <c r="C123" s="769"/>
      <c r="D123" s="769" t="s">
        <v>104</v>
      </c>
      <c r="E123" s="740"/>
      <c r="F123" s="744">
        <v>935</v>
      </c>
      <c r="G123" s="745"/>
      <c r="H123" s="857">
        <f>ROUND(+A123*1000,0)</f>
        <v>15991</v>
      </c>
      <c r="I123" s="857">
        <f>ROUND(+B123*1000,0)</f>
        <v>0</v>
      </c>
      <c r="J123" s="750"/>
      <c r="K123" s="765"/>
      <c r="M123" s="126"/>
    </row>
    <row r="124" spans="1:13" s="104" customFormat="1">
      <c r="A124" s="872">
        <f>SUM(A119:A123)</f>
        <v>114891.91160297586</v>
      </c>
      <c r="B124" s="872">
        <f>SUM(B119:B123)</f>
        <v>26355.647002975882</v>
      </c>
      <c r="C124" s="769"/>
      <c r="D124" s="771" t="s">
        <v>105</v>
      </c>
      <c r="E124" s="740"/>
      <c r="F124" s="744"/>
      <c r="G124" s="745"/>
      <c r="H124" s="872">
        <f>SUM(H119:H123)</f>
        <v>114891913</v>
      </c>
      <c r="I124" s="872">
        <f>SUM(I119:I123)</f>
        <v>26355647</v>
      </c>
      <c r="J124" s="768"/>
      <c r="K124" s="765"/>
      <c r="M124" s="126"/>
    </row>
    <row r="125" spans="1:13" s="104" customFormat="1">
      <c r="A125" s="857"/>
      <c r="B125" s="857"/>
      <c r="C125" s="769"/>
      <c r="D125" s="740"/>
      <c r="E125" s="740"/>
      <c r="F125" s="745"/>
      <c r="G125" s="745"/>
      <c r="H125" s="857"/>
      <c r="I125" s="857"/>
      <c r="J125" s="746"/>
      <c r="K125" s="765"/>
      <c r="M125" s="126"/>
    </row>
    <row r="126" spans="1:13" s="104" customFormat="1">
      <c r="A126" s="872">
        <f>+A124+A102+A93+A86+A78+A33+A12+A19+A43+A47</f>
        <v>516584.59245079523</v>
      </c>
      <c r="B126" s="872">
        <f>+B124+B102+B93+B86+B78+B33+B12+B19+B43+B47</f>
        <v>80218.50414412863</v>
      </c>
      <c r="C126" s="769"/>
      <c r="D126" s="771" t="s">
        <v>106</v>
      </c>
      <c r="E126" s="740"/>
      <c r="F126" s="772"/>
      <c r="G126" s="773"/>
      <c r="H126" s="872">
        <f>+H124+H102+H93+H86+H78+H33+H12+H19+H43+H47</f>
        <v>516584539</v>
      </c>
      <c r="I126" s="872">
        <f>+I124+I102+I93+I86+I78+I33+I12+I19+I43+I47</f>
        <v>80214445</v>
      </c>
      <c r="J126" s="768"/>
      <c r="K126" s="765"/>
      <c r="M126" s="126"/>
    </row>
    <row r="127" spans="1:13" s="104" customFormat="1">
      <c r="A127" s="738"/>
      <c r="B127" s="774"/>
      <c r="C127" s="769"/>
      <c r="D127" s="738"/>
      <c r="E127" s="738"/>
      <c r="F127" s="753"/>
      <c r="G127" s="738"/>
      <c r="H127" s="738"/>
      <c r="I127" s="774"/>
      <c r="J127" s="738"/>
      <c r="K127" s="765"/>
      <c r="L127" s="265">
        <f>+K127-K126</f>
        <v>0</v>
      </c>
      <c r="M127" s="126"/>
    </row>
    <row r="128" spans="1:13" s="104" customFormat="1">
      <c r="A128" s="738"/>
      <c r="B128" s="774"/>
      <c r="C128" s="769"/>
      <c r="D128" s="738"/>
      <c r="E128" s="738"/>
      <c r="F128" s="753"/>
      <c r="G128" s="738"/>
      <c r="H128" s="738"/>
      <c r="I128" s="774"/>
      <c r="J128" s="738"/>
      <c r="K128" s="765"/>
      <c r="L128" s="265"/>
      <c r="M128" s="126"/>
    </row>
    <row r="129" spans="1:13" s="104" customFormat="1" ht="15.75">
      <c r="A129" s="260"/>
      <c r="B129" s="864"/>
      <c r="C129" s="865" t="s">
        <v>516</v>
      </c>
      <c r="D129" s="260"/>
      <c r="E129" s="260"/>
      <c r="F129" s="392"/>
      <c r="G129" s="260"/>
      <c r="H129" s="260"/>
      <c r="I129" s="774"/>
      <c r="J129" s="738"/>
      <c r="K129" s="765"/>
      <c r="L129" s="265"/>
      <c r="M129" s="126"/>
    </row>
    <row r="130" spans="1:13" s="104" customFormat="1">
      <c r="A130" s="435">
        <v>746</v>
      </c>
      <c r="B130" s="864"/>
      <c r="C130" s="260"/>
      <c r="D130" s="866" t="s">
        <v>517</v>
      </c>
      <c r="E130" s="260"/>
      <c r="F130" s="392"/>
      <c r="G130" s="260"/>
      <c r="H130" s="857">
        <f>ROUND(+A130*1000,0)</f>
        <v>746000</v>
      </c>
      <c r="I130" s="746"/>
      <c r="J130" s="738"/>
      <c r="K130" s="765"/>
      <c r="L130" s="265"/>
      <c r="M130" s="126"/>
    </row>
    <row r="131" spans="1:13" s="104" customFormat="1">
      <c r="A131" s="435">
        <v>0</v>
      </c>
      <c r="B131" s="864"/>
      <c r="C131" s="260"/>
      <c r="D131" s="866" t="s">
        <v>518</v>
      </c>
      <c r="E131" s="260"/>
      <c r="F131" s="392"/>
      <c r="G131" s="260"/>
      <c r="H131" s="857">
        <f t="shared" ref="H131:H136" si="20">ROUND(+A131*1000,0)</f>
        <v>0</v>
      </c>
      <c r="I131" s="746"/>
      <c r="J131" s="738"/>
      <c r="K131" s="765"/>
      <c r="L131" s="265"/>
      <c r="M131" s="126"/>
    </row>
    <row r="132" spans="1:13" s="104" customFormat="1">
      <c r="A132" s="435">
        <v>703</v>
      </c>
      <c r="B132" s="864"/>
      <c r="C132" s="260"/>
      <c r="D132" s="866" t="s">
        <v>519</v>
      </c>
      <c r="E132" s="260"/>
      <c r="F132" s="392"/>
      <c r="G132" s="260"/>
      <c r="H132" s="857">
        <f t="shared" si="20"/>
        <v>703000</v>
      </c>
      <c r="I132" s="746"/>
      <c r="J132" s="738"/>
      <c r="K132" s="765"/>
      <c r="L132" s="265"/>
      <c r="M132" s="126"/>
    </row>
    <row r="133" spans="1:13" s="104" customFormat="1">
      <c r="A133" s="435">
        <v>6000.9004000000004</v>
      </c>
      <c r="B133" s="864"/>
      <c r="C133" s="260"/>
      <c r="D133" s="866" t="s">
        <v>520</v>
      </c>
      <c r="E133" s="260"/>
      <c r="F133" s="392"/>
      <c r="G133" s="260"/>
      <c r="H133" s="857">
        <f t="shared" si="20"/>
        <v>6000900</v>
      </c>
      <c r="I133" s="746"/>
      <c r="J133" s="738"/>
      <c r="K133" s="765"/>
      <c r="L133" s="265"/>
      <c r="M133" s="126"/>
    </row>
    <row r="134" spans="1:13" s="104" customFormat="1">
      <c r="A134" s="435">
        <v>62.940199999999997</v>
      </c>
      <c r="B134" s="864"/>
      <c r="C134" s="260"/>
      <c r="D134" s="866" t="s">
        <v>521</v>
      </c>
      <c r="E134" s="260"/>
      <c r="F134" s="392"/>
      <c r="G134" s="260"/>
      <c r="H134" s="857">
        <f t="shared" si="20"/>
        <v>62940</v>
      </c>
      <c r="I134" s="746"/>
      <c r="J134" s="738"/>
      <c r="K134" s="765"/>
      <c r="L134" s="265"/>
      <c r="M134" s="126"/>
    </row>
    <row r="135" spans="1:13" s="104" customFormat="1">
      <c r="A135" s="435">
        <v>503.50319999999999</v>
      </c>
      <c r="B135" s="864"/>
      <c r="C135" s="260"/>
      <c r="D135" s="866" t="s">
        <v>522</v>
      </c>
      <c r="E135" s="260"/>
      <c r="F135" s="392"/>
      <c r="G135" s="260"/>
      <c r="H135" s="857">
        <f t="shared" si="20"/>
        <v>503503</v>
      </c>
      <c r="I135" s="746"/>
      <c r="J135" s="738"/>
      <c r="K135" s="765"/>
      <c r="L135" s="265"/>
      <c r="M135" s="126"/>
    </row>
    <row r="136" spans="1:13" s="104" customFormat="1">
      <c r="A136" s="867">
        <v>3012</v>
      </c>
      <c r="B136" s="864"/>
      <c r="C136" s="260"/>
      <c r="D136" s="1" t="s">
        <v>523</v>
      </c>
      <c r="E136" s="260"/>
      <c r="F136" s="392"/>
      <c r="G136" s="260"/>
      <c r="H136" s="868">
        <f t="shared" si="20"/>
        <v>3012000</v>
      </c>
      <c r="I136" s="746"/>
      <c r="J136" s="738"/>
      <c r="K136" s="765"/>
      <c r="L136" s="265"/>
      <c r="M136" s="126"/>
    </row>
    <row r="137" spans="1:13" s="104" customFormat="1" ht="7.9" customHeight="1">
      <c r="A137" s="260"/>
      <c r="B137" s="864"/>
      <c r="C137" s="866"/>
      <c r="D137" s="260"/>
      <c r="E137" s="260"/>
      <c r="F137" s="392"/>
      <c r="G137" s="260"/>
      <c r="H137" s="260"/>
      <c r="I137" s="774"/>
      <c r="J137" s="738"/>
      <c r="K137" s="765"/>
      <c r="L137" s="265"/>
      <c r="M137" s="126"/>
    </row>
    <row r="138" spans="1:13" s="104" customFormat="1">
      <c r="A138" s="396">
        <f>SUM(A130:A137)</f>
        <v>11028.343800000001</v>
      </c>
      <c r="B138" s="864"/>
      <c r="C138" s="260"/>
      <c r="D138" s="866" t="s">
        <v>525</v>
      </c>
      <c r="E138" s="260"/>
      <c r="F138" s="392"/>
      <c r="G138" s="260"/>
      <c r="H138" s="396">
        <f>SUM(H130:H137)</f>
        <v>11028343</v>
      </c>
      <c r="I138" s="774"/>
      <c r="J138" s="738"/>
      <c r="K138" s="765"/>
      <c r="L138" s="265"/>
      <c r="M138" s="126"/>
    </row>
    <row r="139" spans="1:13" s="104" customFormat="1">
      <c r="A139" s="771"/>
      <c r="B139" s="738"/>
      <c r="C139" s="769"/>
      <c r="D139" s="738"/>
      <c r="E139" s="738"/>
      <c r="F139" s="753"/>
      <c r="G139" s="738"/>
      <c r="H139" s="738"/>
      <c r="I139" s="774"/>
      <c r="J139" s="738"/>
      <c r="K139" s="765"/>
      <c r="L139" s="265"/>
      <c r="M139" s="126"/>
    </row>
    <row r="140" spans="1:13" s="275" customFormat="1" ht="15.75">
      <c r="A140" s="779"/>
      <c r="B140" s="763"/>
      <c r="C140" s="763"/>
      <c r="D140" s="763"/>
      <c r="E140" s="763"/>
      <c r="F140" s="756"/>
      <c r="G140" s="763"/>
      <c r="H140" s="1026"/>
      <c r="I140" s="1026"/>
      <c r="J140" s="763"/>
      <c r="K140" s="764"/>
      <c r="L140" s="800"/>
      <c r="M140" s="189"/>
    </row>
    <row r="141" spans="1:13" s="275" customFormat="1" ht="15.75">
      <c r="A141" s="801"/>
      <c r="B141" s="802"/>
      <c r="C141" s="803"/>
      <c r="D141" s="775"/>
      <c r="E141" s="776"/>
      <c r="F141" s="777"/>
      <c r="G141" s="777"/>
      <c r="H141" s="804"/>
      <c r="I141" s="805"/>
      <c r="J141" s="763"/>
      <c r="K141" s="764"/>
      <c r="M141" s="189"/>
    </row>
    <row r="142" spans="1:13" s="275" customFormat="1">
      <c r="A142" s="763"/>
      <c r="B142" s="778"/>
      <c r="C142" s="806"/>
      <c r="D142" s="792"/>
      <c r="E142" s="776"/>
      <c r="F142" s="777"/>
      <c r="G142" s="777"/>
      <c r="H142" s="778"/>
      <c r="I142" s="764"/>
      <c r="J142" s="776"/>
      <c r="K142" s="764"/>
      <c r="M142" s="189"/>
    </row>
    <row r="143" spans="1:13" s="275" customFormat="1">
      <c r="A143" s="778"/>
      <c r="B143" s="778"/>
      <c r="C143" s="807"/>
      <c r="D143" s="808"/>
      <c r="E143" s="763"/>
      <c r="F143" s="756"/>
      <c r="G143" s="763"/>
      <c r="H143" s="778"/>
      <c r="I143" s="778"/>
      <c r="J143" s="763"/>
      <c r="K143" s="764"/>
      <c r="M143" s="189"/>
    </row>
    <row r="144" spans="1:13" s="275" customFormat="1">
      <c r="A144" s="778"/>
      <c r="B144" s="778"/>
      <c r="C144" s="809"/>
      <c r="D144" s="808"/>
      <c r="E144" s="776"/>
      <c r="F144" s="779"/>
      <c r="G144" s="777"/>
      <c r="H144" s="778"/>
      <c r="I144" s="778"/>
      <c r="J144" s="780"/>
      <c r="K144" s="764"/>
      <c r="M144" s="189"/>
    </row>
    <row r="145" spans="1:13" s="275" customFormat="1">
      <c r="A145" s="778"/>
      <c r="B145" s="778"/>
      <c r="C145" s="809"/>
      <c r="D145" s="808"/>
      <c r="E145" s="776"/>
      <c r="F145" s="779"/>
      <c r="G145" s="777"/>
      <c r="H145" s="778"/>
      <c r="I145" s="778"/>
      <c r="J145" s="780"/>
      <c r="K145" s="764"/>
      <c r="M145" s="189"/>
    </row>
    <row r="146" spans="1:13" s="275" customFormat="1">
      <c r="A146" s="778"/>
      <c r="B146" s="778"/>
      <c r="C146" s="807"/>
      <c r="D146" s="808"/>
      <c r="E146" s="776"/>
      <c r="F146" s="779"/>
      <c r="G146" s="777"/>
      <c r="H146" s="778"/>
      <c r="I146" s="778"/>
      <c r="J146" s="780"/>
      <c r="K146" s="764"/>
      <c r="M146" s="189"/>
    </row>
    <row r="147" spans="1:13" s="275" customFormat="1">
      <c r="A147" s="778"/>
      <c r="B147" s="778"/>
      <c r="C147" s="807"/>
      <c r="D147" s="808"/>
      <c r="E147" s="776"/>
      <c r="F147" s="779"/>
      <c r="G147" s="777"/>
      <c r="H147" s="778"/>
      <c r="I147" s="778"/>
      <c r="J147" s="775"/>
      <c r="K147" s="764"/>
      <c r="M147" s="189"/>
    </row>
    <row r="148" spans="1:13" s="275" customFormat="1">
      <c r="A148" s="778"/>
      <c r="B148" s="778"/>
      <c r="C148" s="809"/>
      <c r="D148" s="808"/>
      <c r="E148" s="776"/>
      <c r="F148" s="779"/>
      <c r="G148" s="777"/>
      <c r="H148" s="778"/>
      <c r="I148" s="778"/>
      <c r="J148" s="775"/>
      <c r="K148" s="764"/>
      <c r="M148" s="189"/>
    </row>
    <row r="149" spans="1:13" s="275" customFormat="1">
      <c r="A149" s="778"/>
      <c r="B149" s="778"/>
      <c r="C149" s="809"/>
      <c r="D149" s="808"/>
      <c r="E149" s="776"/>
      <c r="F149" s="779"/>
      <c r="G149" s="777"/>
      <c r="H149" s="778"/>
      <c r="I149" s="778"/>
      <c r="J149" s="780"/>
      <c r="K149" s="764"/>
      <c r="M149" s="189"/>
    </row>
    <row r="150" spans="1:13" s="275" customFormat="1">
      <c r="A150" s="778"/>
      <c r="B150" s="778"/>
      <c r="C150" s="807"/>
      <c r="D150" s="808"/>
      <c r="E150" s="776"/>
      <c r="F150" s="779"/>
      <c r="G150" s="777"/>
      <c r="H150" s="778"/>
      <c r="I150" s="778"/>
      <c r="J150" s="775"/>
      <c r="K150" s="764"/>
      <c r="M150" s="189"/>
    </row>
    <row r="151" spans="1:13" s="275" customFormat="1">
      <c r="A151" s="778"/>
      <c r="B151" s="778"/>
      <c r="C151" s="809"/>
      <c r="D151" s="808"/>
      <c r="E151" s="776"/>
      <c r="F151" s="779"/>
      <c r="G151" s="777"/>
      <c r="H151" s="778"/>
      <c r="I151" s="778"/>
      <c r="J151" s="775"/>
      <c r="K151" s="764"/>
      <c r="M151" s="189"/>
    </row>
    <row r="152" spans="1:13" s="246" customFormat="1">
      <c r="A152" s="778"/>
      <c r="B152" s="778"/>
      <c r="C152" s="807"/>
      <c r="D152" s="808"/>
      <c r="E152" s="776"/>
      <c r="F152" s="779"/>
      <c r="G152" s="777"/>
      <c r="H152" s="778"/>
      <c r="I152" s="778"/>
      <c r="J152" s="775"/>
      <c r="K152" s="764"/>
      <c r="M152" s="247"/>
    </row>
    <row r="153" spans="1:13" s="246" customFormat="1">
      <c r="A153" s="778"/>
      <c r="B153" s="778"/>
      <c r="C153" s="807"/>
      <c r="D153" s="808"/>
      <c r="E153" s="776"/>
      <c r="F153" s="781"/>
      <c r="G153" s="777"/>
      <c r="H153" s="778"/>
      <c r="I153" s="778"/>
      <c r="J153" s="775"/>
      <c r="K153" s="764"/>
      <c r="M153" s="247"/>
    </row>
    <row r="154" spans="1:13" s="246" customFormat="1">
      <c r="A154" s="778"/>
      <c r="B154" s="778"/>
      <c r="C154" s="807"/>
      <c r="D154" s="808"/>
      <c r="E154" s="776"/>
      <c r="F154" s="781"/>
      <c r="G154" s="777"/>
      <c r="H154" s="778"/>
      <c r="I154" s="778"/>
      <c r="J154" s="775"/>
      <c r="K154" s="764"/>
      <c r="M154" s="247"/>
    </row>
    <row r="155" spans="1:13" s="246" customFormat="1">
      <c r="A155" s="778"/>
      <c r="B155" s="778"/>
      <c r="C155" s="807"/>
      <c r="D155" s="808"/>
      <c r="E155" s="776"/>
      <c r="F155" s="781"/>
      <c r="G155" s="777"/>
      <c r="H155" s="778"/>
      <c r="I155" s="778"/>
      <c r="J155" s="775"/>
      <c r="K155" s="764"/>
      <c r="M155" s="247"/>
    </row>
    <row r="156" spans="1:13" s="275" customFormat="1">
      <c r="A156" s="778"/>
      <c r="B156" s="778"/>
      <c r="C156" s="810"/>
      <c r="D156" s="792"/>
      <c r="E156" s="776"/>
      <c r="F156" s="779"/>
      <c r="G156" s="777"/>
      <c r="H156" s="778"/>
      <c r="I156" s="778"/>
      <c r="J156" s="775"/>
      <c r="K156" s="764"/>
      <c r="M156" s="189"/>
    </row>
    <row r="157" spans="1:13" s="275" customFormat="1" ht="15.75">
      <c r="A157" s="782"/>
      <c r="B157" s="782"/>
      <c r="C157" s="811"/>
      <c r="D157" s="792"/>
      <c r="E157" s="776"/>
      <c r="F157" s="779"/>
      <c r="G157" s="777"/>
      <c r="H157" s="775"/>
      <c r="I157" s="775"/>
      <c r="J157" s="775"/>
      <c r="K157" s="764"/>
      <c r="M157" s="189"/>
    </row>
    <row r="158" spans="1:13" s="275" customFormat="1">
      <c r="A158" s="779"/>
      <c r="B158" s="792"/>
      <c r="C158" s="792"/>
      <c r="D158" s="792"/>
      <c r="E158" s="776"/>
      <c r="F158" s="779"/>
      <c r="G158" s="777"/>
      <c r="H158" s="775"/>
      <c r="I158" s="775"/>
      <c r="J158" s="775"/>
      <c r="K158" s="764"/>
      <c r="M158" s="189"/>
    </row>
    <row r="159" spans="1:13" s="275" customFormat="1" ht="15.75">
      <c r="A159" s="779"/>
      <c r="B159" s="812"/>
      <c r="C159" s="811"/>
      <c r="D159" s="792"/>
      <c r="E159" s="776"/>
      <c r="F159" s="779"/>
      <c r="G159" s="777"/>
      <c r="H159" s="775"/>
      <c r="I159" s="764"/>
      <c r="J159" s="775"/>
      <c r="K159" s="764"/>
      <c r="M159" s="189"/>
    </row>
    <row r="160" spans="1:13" s="275" customFormat="1">
      <c r="A160" s="778"/>
      <c r="B160" s="778"/>
      <c r="C160" s="807"/>
      <c r="D160" s="763"/>
      <c r="E160" s="776"/>
      <c r="F160" s="779"/>
      <c r="G160" s="777"/>
      <c r="H160" s="778"/>
      <c r="I160" s="778"/>
      <c r="J160" s="775"/>
      <c r="K160" s="764"/>
      <c r="M160" s="189"/>
    </row>
    <row r="161" spans="1:13" s="275" customFormat="1">
      <c r="A161" s="778"/>
      <c r="B161" s="778"/>
      <c r="C161" s="809"/>
      <c r="D161" s="808"/>
      <c r="E161" s="776"/>
      <c r="F161" s="779"/>
      <c r="G161" s="777"/>
      <c r="H161" s="778"/>
      <c r="I161" s="778"/>
      <c r="J161" s="775"/>
      <c r="K161" s="764"/>
      <c r="M161" s="189"/>
    </row>
    <row r="162" spans="1:13" s="275" customFormat="1">
      <c r="A162" s="778"/>
      <c r="B162" s="778"/>
      <c r="C162" s="809"/>
      <c r="D162" s="808"/>
      <c r="E162" s="776"/>
      <c r="F162" s="779"/>
      <c r="G162" s="777"/>
      <c r="H162" s="778"/>
      <c r="I162" s="778"/>
      <c r="J162" s="775"/>
      <c r="K162" s="764"/>
      <c r="M162" s="189"/>
    </row>
    <row r="163" spans="1:13" s="275" customFormat="1">
      <c r="A163" s="778"/>
      <c r="B163" s="778"/>
      <c r="C163" s="809"/>
      <c r="D163" s="808"/>
      <c r="E163" s="776"/>
      <c r="F163" s="779"/>
      <c r="G163" s="777"/>
      <c r="H163" s="778"/>
      <c r="I163" s="778"/>
      <c r="J163" s="775"/>
      <c r="K163" s="764"/>
      <c r="M163" s="189"/>
    </row>
    <row r="164" spans="1:13" s="275" customFormat="1">
      <c r="A164" s="778"/>
      <c r="B164" s="778"/>
      <c r="C164" s="813"/>
      <c r="D164" s="808"/>
      <c r="E164" s="776"/>
      <c r="F164" s="779"/>
      <c r="G164" s="777"/>
      <c r="H164" s="778"/>
      <c r="I164" s="778"/>
      <c r="J164" s="780"/>
      <c r="K164" s="764"/>
      <c r="M164" s="189"/>
    </row>
    <row r="165" spans="1:13" s="275" customFormat="1">
      <c r="A165" s="778"/>
      <c r="B165" s="778"/>
      <c r="C165" s="813"/>
      <c r="D165" s="808"/>
      <c r="E165" s="776"/>
      <c r="F165" s="779"/>
      <c r="G165" s="777"/>
      <c r="H165" s="778"/>
      <c r="I165" s="778"/>
      <c r="J165" s="780"/>
      <c r="K165" s="764"/>
      <c r="M165" s="189"/>
    </row>
    <row r="166" spans="1:13" s="275" customFormat="1">
      <c r="A166" s="778"/>
      <c r="B166" s="778"/>
      <c r="C166" s="807"/>
      <c r="D166" s="808"/>
      <c r="E166" s="776"/>
      <c r="F166" s="779"/>
      <c r="G166" s="777"/>
      <c r="H166" s="778"/>
      <c r="I166" s="778"/>
      <c r="J166" s="780"/>
      <c r="K166" s="764"/>
      <c r="M166" s="189"/>
    </row>
    <row r="167" spans="1:13" s="275" customFormat="1">
      <c r="A167" s="778"/>
      <c r="B167" s="778"/>
      <c r="C167" s="807"/>
      <c r="D167" s="808"/>
      <c r="E167" s="776"/>
      <c r="F167" s="779"/>
      <c r="G167" s="777"/>
      <c r="H167" s="778"/>
      <c r="I167" s="778"/>
      <c r="J167" s="780"/>
      <c r="K167" s="764"/>
      <c r="M167" s="189"/>
    </row>
    <row r="168" spans="1:13" s="275" customFormat="1">
      <c r="A168" s="778"/>
      <c r="B168" s="778"/>
      <c r="C168" s="807"/>
      <c r="D168" s="808"/>
      <c r="E168" s="776"/>
      <c r="F168" s="779"/>
      <c r="G168" s="777"/>
      <c r="H168" s="778"/>
      <c r="I168" s="778"/>
      <c r="J168" s="780"/>
      <c r="K168" s="764"/>
      <c r="M168" s="189"/>
    </row>
    <row r="169" spans="1:13" s="275" customFormat="1">
      <c r="A169" s="778"/>
      <c r="B169" s="778"/>
      <c r="C169" s="807"/>
      <c r="D169" s="808"/>
      <c r="E169" s="776"/>
      <c r="F169" s="779"/>
      <c r="G169" s="777"/>
      <c r="H169" s="778"/>
      <c r="I169" s="778"/>
      <c r="J169" s="780"/>
      <c r="K169" s="764"/>
      <c r="M169" s="189"/>
    </row>
    <row r="170" spans="1:13" s="275" customFormat="1">
      <c r="A170" s="778"/>
      <c r="B170" s="778"/>
      <c r="C170" s="807"/>
      <c r="D170" s="808"/>
      <c r="E170" s="776"/>
      <c r="F170" s="779"/>
      <c r="G170" s="777"/>
      <c r="H170" s="778"/>
      <c r="I170" s="778"/>
      <c r="J170" s="780"/>
      <c r="K170" s="764"/>
      <c r="M170" s="189"/>
    </row>
    <row r="171" spans="1:13" s="275" customFormat="1">
      <c r="A171" s="778"/>
      <c r="B171" s="778"/>
      <c r="C171" s="809"/>
      <c r="D171" s="808"/>
      <c r="E171" s="776"/>
      <c r="F171" s="779"/>
      <c r="G171" s="777"/>
      <c r="H171" s="778"/>
      <c r="I171" s="778"/>
      <c r="J171" s="780"/>
      <c r="K171" s="764"/>
      <c r="M171" s="189"/>
    </row>
    <row r="172" spans="1:13" s="275" customFormat="1">
      <c r="A172" s="778"/>
      <c r="B172" s="778"/>
      <c r="C172" s="807"/>
      <c r="D172" s="808"/>
      <c r="E172" s="776"/>
      <c r="F172" s="779"/>
      <c r="G172" s="777"/>
      <c r="H172" s="778"/>
      <c r="I172" s="778"/>
      <c r="J172" s="780"/>
      <c r="K172" s="764"/>
      <c r="M172" s="189"/>
    </row>
    <row r="173" spans="1:13" s="275" customFormat="1">
      <c r="A173" s="783"/>
      <c r="B173" s="778"/>
      <c r="C173" s="807"/>
      <c r="D173" s="808"/>
      <c r="E173" s="776"/>
      <c r="F173" s="779"/>
      <c r="G173" s="777"/>
      <c r="H173" s="778"/>
      <c r="I173" s="778"/>
      <c r="J173" s="784"/>
      <c r="K173" s="764"/>
      <c r="M173" s="189"/>
    </row>
    <row r="174" spans="1:13" s="275" customFormat="1" ht="15.75">
      <c r="A174" s="782"/>
      <c r="B174" s="782"/>
      <c r="C174" s="811"/>
      <c r="D174" s="792"/>
      <c r="E174" s="776"/>
      <c r="F174" s="779"/>
      <c r="G174" s="777"/>
      <c r="H174" s="766"/>
      <c r="I174" s="766"/>
      <c r="J174" s="780"/>
      <c r="K174" s="764"/>
      <c r="M174" s="189"/>
    </row>
    <row r="175" spans="1:13" s="275" customFormat="1">
      <c r="A175" s="779"/>
      <c r="B175" s="792"/>
      <c r="C175" s="792"/>
      <c r="D175" s="792"/>
      <c r="E175" s="776"/>
      <c r="F175" s="779"/>
      <c r="G175" s="777"/>
      <c r="H175" s="766"/>
      <c r="I175" s="766"/>
      <c r="J175" s="780"/>
      <c r="K175" s="764"/>
      <c r="M175" s="189"/>
    </row>
    <row r="176" spans="1:13" s="275" customFormat="1" ht="15.75">
      <c r="A176" s="782"/>
      <c r="B176" s="782"/>
      <c r="C176" s="811"/>
      <c r="D176" s="792"/>
      <c r="E176" s="776"/>
      <c r="F176" s="779"/>
      <c r="G176" s="777"/>
      <c r="H176" s="766"/>
      <c r="I176" s="766"/>
      <c r="J176" s="780"/>
      <c r="K176" s="764"/>
      <c r="M176" s="189"/>
    </row>
    <row r="177" spans="1:13" s="275" customFormat="1">
      <c r="A177" s="779"/>
      <c r="B177" s="792"/>
      <c r="C177" s="792"/>
      <c r="D177" s="792"/>
      <c r="E177" s="776"/>
      <c r="F177" s="779"/>
      <c r="G177" s="777"/>
      <c r="H177" s="766"/>
      <c r="I177" s="764"/>
      <c r="J177" s="780"/>
      <c r="K177" s="764"/>
      <c r="M177" s="189"/>
    </row>
    <row r="178" spans="1:13" s="275" customFormat="1" ht="15.75">
      <c r="A178" s="779"/>
      <c r="B178" s="812"/>
      <c r="C178" s="811"/>
      <c r="D178" s="812"/>
      <c r="E178" s="776"/>
      <c r="F178" s="779"/>
      <c r="G178" s="777"/>
      <c r="H178" s="766"/>
      <c r="I178" s="764"/>
      <c r="J178" s="780"/>
      <c r="K178" s="764"/>
      <c r="M178" s="189"/>
    </row>
    <row r="179" spans="1:13" s="275" customFormat="1">
      <c r="A179" s="785"/>
      <c r="B179" s="812"/>
      <c r="C179" s="807"/>
      <c r="D179" s="808"/>
      <c r="E179" s="776"/>
      <c r="F179" s="779"/>
      <c r="G179" s="777"/>
      <c r="H179" s="778"/>
      <c r="I179" s="778"/>
      <c r="J179" s="780"/>
      <c r="K179" s="764"/>
      <c r="M179" s="189"/>
    </row>
    <row r="180" spans="1:13" s="275" customFormat="1">
      <c r="A180" s="779"/>
      <c r="B180" s="812"/>
      <c r="C180" s="807"/>
      <c r="D180" s="808"/>
      <c r="E180" s="776"/>
      <c r="F180" s="779"/>
      <c r="G180" s="777"/>
      <c r="H180" s="778"/>
      <c r="I180" s="778"/>
      <c r="J180" s="780"/>
      <c r="K180" s="764"/>
      <c r="M180" s="189"/>
    </row>
    <row r="181" spans="1:13" s="275" customFormat="1">
      <c r="A181" s="779"/>
      <c r="B181" s="812"/>
      <c r="C181" s="809"/>
      <c r="D181" s="808"/>
      <c r="E181" s="776"/>
      <c r="F181" s="779"/>
      <c r="G181" s="777"/>
      <c r="H181" s="778"/>
      <c r="I181" s="778"/>
      <c r="J181" s="775"/>
      <c r="K181" s="764"/>
      <c r="M181" s="189"/>
    </row>
    <row r="182" spans="1:13" s="275" customFormat="1">
      <c r="A182" s="763"/>
      <c r="B182" s="812"/>
      <c r="C182" s="809"/>
      <c r="D182" s="808"/>
      <c r="E182" s="763"/>
      <c r="F182" s="756"/>
      <c r="G182" s="763"/>
      <c r="H182" s="778"/>
      <c r="I182" s="778"/>
      <c r="J182" s="763"/>
      <c r="K182" s="764"/>
      <c r="M182" s="189"/>
    </row>
    <row r="183" spans="1:13" s="275" customFormat="1">
      <c r="A183" s="763"/>
      <c r="B183" s="812"/>
      <c r="C183" s="809"/>
      <c r="D183" s="808"/>
      <c r="E183" s="776"/>
      <c r="F183" s="779"/>
      <c r="G183" s="777"/>
      <c r="H183" s="778"/>
      <c r="I183" s="778"/>
      <c r="J183" s="775"/>
      <c r="K183" s="764"/>
      <c r="M183" s="189"/>
    </row>
    <row r="184" spans="1:13" s="275" customFormat="1" ht="15.75">
      <c r="A184" s="779"/>
      <c r="B184" s="812"/>
      <c r="C184" s="811"/>
      <c r="D184" s="812"/>
      <c r="E184" s="776"/>
      <c r="F184" s="779"/>
      <c r="G184" s="777"/>
      <c r="H184" s="766"/>
      <c r="I184" s="766"/>
      <c r="J184" s="780"/>
      <c r="K184" s="764"/>
      <c r="M184" s="189"/>
    </row>
    <row r="185" spans="1:13" s="275" customFormat="1" ht="15.75">
      <c r="A185" s="779"/>
      <c r="B185" s="811"/>
      <c r="C185" s="812"/>
      <c r="D185" s="812"/>
      <c r="E185" s="776"/>
      <c r="F185" s="779"/>
      <c r="G185" s="777"/>
      <c r="H185" s="766"/>
      <c r="I185" s="764"/>
      <c r="J185" s="780"/>
      <c r="K185" s="764"/>
      <c r="M185" s="189"/>
    </row>
    <row r="186" spans="1:13" s="275" customFormat="1" ht="15.75">
      <c r="A186" s="779"/>
      <c r="B186" s="763"/>
      <c r="C186" s="811"/>
      <c r="D186" s="812"/>
      <c r="E186" s="776"/>
      <c r="F186" s="779"/>
      <c r="G186" s="777"/>
      <c r="H186" s="766"/>
      <c r="I186" s="766"/>
      <c r="J186" s="780"/>
      <c r="K186" s="764"/>
      <c r="M186" s="189"/>
    </row>
    <row r="187" spans="1:13" s="275" customFormat="1" ht="15.75">
      <c r="A187" s="779"/>
      <c r="B187" s="763"/>
      <c r="C187" s="811"/>
      <c r="D187" s="812"/>
      <c r="E187" s="776"/>
      <c r="F187" s="779"/>
      <c r="G187" s="777"/>
      <c r="H187" s="766"/>
      <c r="I187" s="764"/>
      <c r="J187" s="780"/>
      <c r="K187" s="764"/>
      <c r="M187" s="189"/>
    </row>
    <row r="188" spans="1:13" s="275" customFormat="1" ht="15.75">
      <c r="A188" s="779"/>
      <c r="B188" s="763"/>
      <c r="C188" s="814"/>
      <c r="D188" s="792"/>
      <c r="E188" s="776"/>
      <c r="F188" s="779"/>
      <c r="G188" s="777"/>
      <c r="H188" s="766"/>
      <c r="I188" s="764"/>
      <c r="J188" s="780"/>
      <c r="K188" s="764"/>
      <c r="M188" s="189"/>
    </row>
    <row r="189" spans="1:13" s="275" customFormat="1" ht="15.75">
      <c r="A189" s="779"/>
      <c r="B189" s="811"/>
      <c r="C189" s="815"/>
      <c r="D189" s="792"/>
      <c r="E189" s="776"/>
      <c r="F189" s="779"/>
      <c r="G189" s="777"/>
      <c r="H189" s="766"/>
      <c r="I189" s="764"/>
      <c r="J189" s="780"/>
      <c r="K189" s="764"/>
      <c r="M189" s="189"/>
    </row>
    <row r="190" spans="1:13" s="275" customFormat="1" ht="15.75">
      <c r="A190" s="779"/>
      <c r="B190" s="812"/>
      <c r="C190" s="811"/>
      <c r="D190" s="792"/>
      <c r="E190" s="776"/>
      <c r="F190" s="779"/>
      <c r="G190" s="777"/>
      <c r="H190" s="766"/>
      <c r="I190" s="764"/>
      <c r="J190" s="780"/>
      <c r="K190" s="764"/>
      <c r="M190" s="189"/>
    </row>
    <row r="191" spans="1:13" s="275" customFormat="1" ht="15.75">
      <c r="A191" s="779"/>
      <c r="B191" s="811"/>
      <c r="C191" s="815"/>
      <c r="D191" s="792"/>
      <c r="E191" s="776"/>
      <c r="F191" s="779"/>
      <c r="G191" s="777"/>
      <c r="H191" s="778"/>
      <c r="I191" s="778"/>
      <c r="J191" s="780"/>
      <c r="K191" s="764"/>
      <c r="M191" s="189"/>
    </row>
    <row r="192" spans="1:13" s="275" customFormat="1" ht="15.75">
      <c r="A192" s="779"/>
      <c r="B192" s="811"/>
      <c r="C192" s="815"/>
      <c r="D192" s="792"/>
      <c r="E192" s="776"/>
      <c r="F192" s="779"/>
      <c r="G192" s="777"/>
      <c r="H192" s="778"/>
      <c r="I192" s="778"/>
      <c r="J192" s="775"/>
      <c r="K192" s="764"/>
      <c r="M192" s="189"/>
    </row>
    <row r="193" spans="1:13" s="275" customFormat="1" ht="15.75">
      <c r="A193" s="779"/>
      <c r="B193" s="811"/>
      <c r="C193" s="815"/>
      <c r="D193" s="816"/>
      <c r="E193" s="763"/>
      <c r="F193" s="756"/>
      <c r="G193" s="763"/>
      <c r="H193" s="778"/>
      <c r="I193" s="778"/>
      <c r="J193" s="763"/>
      <c r="K193" s="764"/>
      <c r="M193" s="189"/>
    </row>
    <row r="194" spans="1:13" s="275" customFormat="1" ht="15.75">
      <c r="A194" s="779"/>
      <c r="B194" s="811"/>
      <c r="C194" s="817"/>
      <c r="D194" s="816"/>
      <c r="E194" s="763"/>
      <c r="F194" s="763"/>
      <c r="G194" s="763"/>
      <c r="H194" s="778"/>
      <c r="I194" s="778"/>
      <c r="J194" s="775"/>
      <c r="K194" s="764"/>
      <c r="M194" s="189"/>
    </row>
    <row r="195" spans="1:13" s="275" customFormat="1" ht="15.75">
      <c r="A195" s="779"/>
      <c r="B195" s="811"/>
      <c r="C195" s="815"/>
      <c r="D195" s="792"/>
      <c r="E195" s="763"/>
      <c r="F195" s="763"/>
      <c r="G195" s="763"/>
      <c r="H195" s="778"/>
      <c r="I195" s="778"/>
      <c r="J195" s="775"/>
      <c r="K195" s="764"/>
      <c r="M195" s="189"/>
    </row>
    <row r="196" spans="1:13" s="275" customFormat="1" ht="15.75">
      <c r="A196" s="779"/>
      <c r="B196" s="811"/>
      <c r="C196" s="810"/>
      <c r="D196" s="792"/>
      <c r="E196" s="763"/>
      <c r="F196" s="763"/>
      <c r="G196" s="763"/>
      <c r="H196" s="778"/>
      <c r="I196" s="778"/>
      <c r="J196" s="775"/>
      <c r="K196" s="764"/>
      <c r="M196" s="189"/>
    </row>
    <row r="197" spans="1:13" s="275" customFormat="1" ht="15.75">
      <c r="A197" s="779"/>
      <c r="B197" s="811"/>
      <c r="C197" s="815"/>
      <c r="D197" s="792"/>
      <c r="E197" s="763"/>
      <c r="F197" s="763"/>
      <c r="G197" s="763"/>
      <c r="H197" s="778"/>
      <c r="I197" s="778"/>
      <c r="J197" s="775"/>
      <c r="K197" s="764"/>
      <c r="L197" s="277"/>
      <c r="M197" s="189"/>
    </row>
    <row r="198" spans="1:13" s="275" customFormat="1" ht="15.75">
      <c r="A198" s="779"/>
      <c r="B198" s="812"/>
      <c r="C198" s="811"/>
      <c r="D198" s="792"/>
      <c r="E198" s="763"/>
      <c r="F198" s="763"/>
      <c r="G198" s="763"/>
      <c r="H198" s="778"/>
      <c r="I198" s="778"/>
      <c r="J198" s="780"/>
      <c r="K198" s="786"/>
      <c r="M198" s="189"/>
    </row>
    <row r="199" spans="1:13" s="275" customFormat="1" ht="15.75">
      <c r="A199" s="779"/>
      <c r="B199" s="812"/>
      <c r="C199" s="811"/>
      <c r="D199" s="792"/>
      <c r="E199" s="763"/>
      <c r="F199" s="763"/>
      <c r="G199" s="763"/>
      <c r="H199" s="778"/>
      <c r="I199" s="778"/>
      <c r="J199" s="780"/>
      <c r="K199" s="776"/>
      <c r="M199" s="189"/>
    </row>
    <row r="200" spans="1:13" s="275" customFormat="1" ht="15.75">
      <c r="A200" s="779"/>
      <c r="B200" s="812"/>
      <c r="C200" s="811"/>
      <c r="D200" s="792"/>
      <c r="E200" s="763"/>
      <c r="F200" s="787"/>
      <c r="G200" s="763"/>
      <c r="H200" s="778"/>
      <c r="I200" s="778"/>
      <c r="J200" s="775"/>
      <c r="K200" s="764"/>
      <c r="M200" s="189"/>
    </row>
    <row r="201" spans="1:13" s="275" customFormat="1" ht="15.75">
      <c r="A201" s="779"/>
      <c r="B201" s="811"/>
      <c r="C201" s="815"/>
      <c r="D201" s="792"/>
      <c r="E201" s="763"/>
      <c r="F201" s="763"/>
      <c r="G201" s="763"/>
      <c r="H201" s="775"/>
      <c r="I201" s="775"/>
      <c r="J201" s="775"/>
      <c r="K201" s="764"/>
      <c r="M201" s="189"/>
    </row>
    <row r="202" spans="1:13" s="275" customFormat="1" ht="15.75">
      <c r="A202" s="779"/>
      <c r="B202" s="812"/>
      <c r="C202" s="811"/>
      <c r="D202" s="792"/>
      <c r="E202" s="763"/>
      <c r="F202" s="763"/>
      <c r="G202" s="763"/>
      <c r="H202" s="775"/>
      <c r="I202" s="775"/>
      <c r="J202" s="775"/>
      <c r="K202" s="764"/>
      <c r="M202" s="189"/>
    </row>
    <row r="203" spans="1:13" s="275" customFormat="1" ht="15.75">
      <c r="A203" s="779"/>
      <c r="B203" s="811"/>
      <c r="C203" s="806"/>
      <c r="D203" s="818"/>
      <c r="E203" s="776"/>
      <c r="F203" s="788"/>
      <c r="G203" s="788"/>
      <c r="H203" s="778"/>
      <c r="I203" s="778"/>
      <c r="J203" s="776"/>
      <c r="K203" s="764"/>
      <c r="M203" s="189"/>
    </row>
    <row r="204" spans="1:13" s="275" customFormat="1" ht="15.75">
      <c r="A204" s="779"/>
      <c r="B204" s="811"/>
      <c r="C204" s="819"/>
      <c r="D204" s="818"/>
      <c r="E204" s="789"/>
      <c r="F204" s="788"/>
      <c r="G204" s="788"/>
      <c r="H204" s="778"/>
      <c r="I204" s="778"/>
      <c r="J204" s="776"/>
      <c r="K204" s="764"/>
      <c r="M204" s="189"/>
    </row>
    <row r="205" spans="1:13" s="275" customFormat="1">
      <c r="A205" s="779"/>
      <c r="B205" s="820"/>
      <c r="C205" s="819"/>
      <c r="D205" s="818"/>
      <c r="E205" s="776"/>
      <c r="F205" s="788"/>
      <c r="G205" s="788"/>
      <c r="H205" s="778"/>
      <c r="I205" s="778"/>
      <c r="J205" s="780"/>
      <c r="K205" s="764"/>
      <c r="M205" s="189"/>
    </row>
    <row r="206" spans="1:13" s="275" customFormat="1">
      <c r="A206" s="779"/>
      <c r="B206" s="820"/>
      <c r="C206" s="819"/>
      <c r="D206" s="818"/>
      <c r="E206" s="776"/>
      <c r="F206" s="788"/>
      <c r="G206" s="788"/>
      <c r="H206" s="778"/>
      <c r="I206" s="778"/>
      <c r="J206" s="780"/>
      <c r="K206" s="764"/>
      <c r="M206" s="189"/>
    </row>
    <row r="207" spans="1:13" s="275" customFormat="1" ht="15.75">
      <c r="A207" s="779"/>
      <c r="B207" s="811"/>
      <c r="C207" s="821"/>
      <c r="D207" s="822"/>
      <c r="E207" s="776"/>
      <c r="F207" s="788"/>
      <c r="G207" s="788"/>
      <c r="H207" s="778"/>
      <c r="I207" s="778"/>
      <c r="J207" s="780"/>
      <c r="K207" s="764"/>
      <c r="M207" s="189"/>
    </row>
    <row r="208" spans="1:13" s="275" customFormat="1" ht="15.75">
      <c r="A208" s="779"/>
      <c r="B208" s="811"/>
      <c r="C208" s="821"/>
      <c r="D208" s="822"/>
      <c r="E208" s="776"/>
      <c r="F208" s="788"/>
      <c r="G208" s="788"/>
      <c r="H208" s="778"/>
      <c r="I208" s="778"/>
      <c r="J208" s="780"/>
      <c r="K208" s="764"/>
      <c r="M208" s="189"/>
    </row>
    <row r="209" spans="1:4577" s="275" customFormat="1" ht="15.75">
      <c r="A209" s="779"/>
      <c r="B209" s="811"/>
      <c r="C209" s="819"/>
      <c r="D209" s="818"/>
      <c r="E209" s="776"/>
      <c r="F209" s="788"/>
      <c r="G209" s="788"/>
      <c r="H209" s="778"/>
      <c r="I209" s="778"/>
      <c r="J209" s="780"/>
      <c r="K209" s="764"/>
      <c r="M209" s="189"/>
    </row>
    <row r="210" spans="1:4577" s="275" customFormat="1" ht="15.75">
      <c r="A210" s="779"/>
      <c r="B210" s="812"/>
      <c r="C210" s="811"/>
      <c r="D210" s="792"/>
      <c r="E210" s="776"/>
      <c r="F210" s="788"/>
      <c r="G210" s="788"/>
      <c r="H210" s="766"/>
      <c r="I210" s="766"/>
      <c r="J210" s="766"/>
      <c r="K210" s="764"/>
      <c r="L210" s="189"/>
      <c r="M210" s="189"/>
    </row>
    <row r="211" spans="1:4577" s="275" customFormat="1" ht="15.75">
      <c r="A211" s="763"/>
      <c r="B211" s="812"/>
      <c r="C211" s="811"/>
      <c r="D211" s="792"/>
      <c r="E211" s="789"/>
      <c r="F211" s="788"/>
      <c r="G211" s="788"/>
      <c r="H211" s="766"/>
      <c r="I211" s="766"/>
      <c r="J211" s="766"/>
      <c r="K211" s="764"/>
      <c r="L211" s="189"/>
      <c r="M211" s="189"/>
    </row>
    <row r="212" spans="1:4577" s="823" customFormat="1" ht="15.75">
      <c r="A212" s="790"/>
      <c r="B212" s="812"/>
      <c r="C212" s="811"/>
      <c r="D212" s="792"/>
      <c r="E212" s="789"/>
      <c r="F212" s="791"/>
      <c r="G212" s="788"/>
      <c r="H212" s="778"/>
      <c r="I212" s="778"/>
      <c r="J212" s="780"/>
      <c r="K212" s="764"/>
      <c r="L212" s="189"/>
      <c r="M212" s="189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75"/>
      <c r="AC212" s="275"/>
      <c r="AD212" s="275"/>
      <c r="AE212" s="275"/>
      <c r="AF212" s="275"/>
      <c r="AG212" s="275"/>
      <c r="AH212" s="275"/>
      <c r="AI212" s="275"/>
      <c r="AJ212" s="275"/>
      <c r="AK212" s="275"/>
      <c r="AL212" s="275"/>
      <c r="AM212" s="275"/>
      <c r="AN212" s="275"/>
      <c r="AO212" s="275"/>
      <c r="AP212" s="275"/>
      <c r="AQ212" s="275"/>
      <c r="AR212" s="275"/>
      <c r="AS212" s="275"/>
      <c r="AT212" s="275"/>
      <c r="AU212" s="275"/>
      <c r="AV212" s="275"/>
      <c r="AW212" s="275"/>
      <c r="AX212" s="275"/>
      <c r="AY212" s="275"/>
      <c r="AZ212" s="275"/>
      <c r="BA212" s="275"/>
      <c r="BB212" s="275"/>
      <c r="BC212" s="275"/>
      <c r="BD212" s="275"/>
      <c r="BE212" s="275"/>
      <c r="BF212" s="275"/>
      <c r="BG212" s="275"/>
      <c r="BH212" s="275"/>
      <c r="BI212" s="275"/>
      <c r="BJ212" s="275"/>
      <c r="BK212" s="275"/>
      <c r="BL212" s="275"/>
      <c r="BM212" s="275"/>
      <c r="BN212" s="275"/>
      <c r="BO212" s="275"/>
      <c r="BP212" s="275"/>
      <c r="BQ212" s="275"/>
      <c r="BR212" s="275"/>
      <c r="BS212" s="275"/>
      <c r="BT212" s="275"/>
      <c r="BU212" s="275"/>
      <c r="BV212" s="275"/>
      <c r="BW212" s="275"/>
      <c r="BX212" s="275"/>
      <c r="BY212" s="275"/>
      <c r="BZ212" s="275"/>
      <c r="CA212" s="275"/>
      <c r="CB212" s="275"/>
      <c r="CC212" s="275"/>
      <c r="CD212" s="275"/>
      <c r="CE212" s="275"/>
      <c r="CF212" s="275"/>
      <c r="CG212" s="275"/>
      <c r="CH212" s="275"/>
      <c r="CI212" s="275"/>
      <c r="CJ212" s="275"/>
      <c r="CK212" s="275"/>
      <c r="CL212" s="275"/>
      <c r="CM212" s="275"/>
      <c r="CN212" s="275"/>
      <c r="CO212" s="275"/>
      <c r="CP212" s="275"/>
      <c r="CQ212" s="275"/>
      <c r="CR212" s="275"/>
      <c r="CS212" s="275"/>
      <c r="CT212" s="275"/>
      <c r="CU212" s="275"/>
      <c r="CV212" s="275"/>
      <c r="CW212" s="275"/>
      <c r="CX212" s="275"/>
      <c r="CY212" s="275"/>
      <c r="CZ212" s="275"/>
      <c r="DA212" s="275"/>
      <c r="DB212" s="275"/>
      <c r="DC212" s="275"/>
      <c r="DD212" s="275"/>
      <c r="DE212" s="275"/>
      <c r="DF212" s="275"/>
      <c r="DG212" s="275"/>
      <c r="DH212" s="275"/>
      <c r="DI212" s="275"/>
      <c r="DJ212" s="275"/>
      <c r="DK212" s="275"/>
      <c r="DL212" s="275"/>
      <c r="DM212" s="275"/>
      <c r="DN212" s="275"/>
      <c r="DO212" s="275"/>
      <c r="DP212" s="275"/>
      <c r="DQ212" s="275"/>
      <c r="DR212" s="275"/>
      <c r="DS212" s="275"/>
      <c r="DT212" s="275"/>
      <c r="DU212" s="275"/>
      <c r="DV212" s="275"/>
      <c r="DW212" s="275"/>
      <c r="DX212" s="275"/>
      <c r="DY212" s="275"/>
      <c r="DZ212" s="275"/>
      <c r="EA212" s="275"/>
      <c r="EB212" s="275"/>
      <c r="EC212" s="275"/>
      <c r="ED212" s="275"/>
      <c r="EE212" s="275"/>
      <c r="EF212" s="275"/>
      <c r="EG212" s="275"/>
      <c r="EH212" s="275"/>
      <c r="EI212" s="275"/>
      <c r="EJ212" s="275"/>
      <c r="EK212" s="275"/>
      <c r="EL212" s="275"/>
      <c r="EM212" s="275"/>
      <c r="EN212" s="275"/>
      <c r="EO212" s="275"/>
      <c r="EP212" s="275"/>
      <c r="EQ212" s="275"/>
      <c r="ER212" s="275"/>
      <c r="ES212" s="275"/>
      <c r="ET212" s="275"/>
      <c r="EU212" s="275"/>
      <c r="EV212" s="275"/>
      <c r="EW212" s="275"/>
      <c r="EX212" s="275"/>
      <c r="EY212" s="275"/>
      <c r="EZ212" s="275"/>
      <c r="FA212" s="275"/>
      <c r="FB212" s="275"/>
      <c r="FC212" s="275"/>
      <c r="FD212" s="275"/>
      <c r="FE212" s="275"/>
      <c r="FF212" s="275"/>
      <c r="FG212" s="275"/>
      <c r="FH212" s="275"/>
      <c r="FI212" s="275"/>
      <c r="FJ212" s="275"/>
      <c r="FK212" s="275"/>
      <c r="FL212" s="275"/>
      <c r="FM212" s="275"/>
      <c r="FN212" s="275"/>
      <c r="FO212" s="275"/>
      <c r="FP212" s="275"/>
      <c r="FQ212" s="275"/>
      <c r="FR212" s="275"/>
      <c r="FS212" s="275"/>
      <c r="FT212" s="275"/>
      <c r="FU212" s="275"/>
      <c r="FV212" s="275"/>
      <c r="FW212" s="275"/>
      <c r="FX212" s="275"/>
      <c r="FY212" s="275"/>
      <c r="FZ212" s="275"/>
      <c r="GA212" s="275"/>
      <c r="GB212" s="275"/>
      <c r="GC212" s="275"/>
      <c r="GD212" s="275"/>
      <c r="GE212" s="275"/>
      <c r="GF212" s="275"/>
      <c r="GG212" s="275"/>
      <c r="GH212" s="275"/>
      <c r="GI212" s="275"/>
      <c r="GJ212" s="275"/>
      <c r="GK212" s="275"/>
      <c r="GL212" s="275"/>
      <c r="GM212" s="275"/>
      <c r="GN212" s="275"/>
      <c r="GO212" s="275"/>
      <c r="GP212" s="275"/>
      <c r="GQ212" s="275"/>
      <c r="GR212" s="275"/>
      <c r="GS212" s="275"/>
      <c r="GT212" s="275"/>
      <c r="GU212" s="275"/>
      <c r="GV212" s="275"/>
      <c r="GW212" s="275"/>
      <c r="GX212" s="275"/>
      <c r="GY212" s="275"/>
      <c r="GZ212" s="275"/>
      <c r="HA212" s="275"/>
      <c r="HB212" s="275"/>
      <c r="HC212" s="275"/>
      <c r="HD212" s="275"/>
      <c r="HE212" s="275"/>
      <c r="HF212" s="275"/>
      <c r="HG212" s="275"/>
      <c r="HH212" s="275"/>
      <c r="HI212" s="275"/>
      <c r="HJ212" s="275"/>
      <c r="HK212" s="275"/>
      <c r="HL212" s="275"/>
      <c r="HM212" s="275"/>
      <c r="HN212" s="275"/>
      <c r="HO212" s="275"/>
      <c r="HP212" s="275"/>
      <c r="HQ212" s="275"/>
      <c r="HR212" s="275"/>
      <c r="HS212" s="275"/>
      <c r="HT212" s="275"/>
      <c r="HU212" s="275"/>
      <c r="HV212" s="275"/>
      <c r="HW212" s="275"/>
      <c r="HX212" s="275"/>
      <c r="HY212" s="275"/>
      <c r="HZ212" s="275"/>
      <c r="IA212" s="275"/>
      <c r="IB212" s="275"/>
      <c r="IC212" s="275"/>
      <c r="ID212" s="275"/>
      <c r="IE212" s="275"/>
      <c r="IF212" s="275"/>
      <c r="IG212" s="275"/>
      <c r="IH212" s="275"/>
      <c r="II212" s="275"/>
      <c r="IJ212" s="275"/>
      <c r="IK212" s="275"/>
      <c r="IL212" s="275"/>
      <c r="IM212" s="275"/>
      <c r="IN212" s="275"/>
      <c r="IO212" s="275"/>
      <c r="IP212" s="275"/>
      <c r="IQ212" s="275"/>
      <c r="IR212" s="275"/>
      <c r="IS212" s="275"/>
      <c r="IT212" s="275"/>
      <c r="IU212" s="275"/>
      <c r="IV212" s="275"/>
      <c r="IW212" s="275"/>
      <c r="IX212" s="275"/>
      <c r="IY212" s="275"/>
      <c r="IZ212" s="275"/>
      <c r="JA212" s="275"/>
      <c r="JB212" s="275"/>
      <c r="JC212" s="275"/>
      <c r="JD212" s="275"/>
      <c r="JE212" s="275"/>
      <c r="JF212" s="275"/>
      <c r="JG212" s="275"/>
      <c r="JH212" s="275"/>
      <c r="JI212" s="275"/>
      <c r="JJ212" s="275"/>
      <c r="JK212" s="275"/>
      <c r="JL212" s="275"/>
      <c r="JM212" s="275"/>
      <c r="JN212" s="275"/>
      <c r="JO212" s="275"/>
      <c r="JP212" s="275"/>
      <c r="JQ212" s="275"/>
      <c r="JR212" s="275"/>
      <c r="JS212" s="275"/>
      <c r="JT212" s="275"/>
      <c r="JU212" s="275"/>
      <c r="JV212" s="275"/>
      <c r="JW212" s="275"/>
      <c r="JX212" s="275"/>
      <c r="JY212" s="275"/>
      <c r="JZ212" s="275"/>
      <c r="KA212" s="275"/>
      <c r="KB212" s="275"/>
      <c r="KC212" s="275"/>
      <c r="KD212" s="275"/>
      <c r="KE212" s="275"/>
      <c r="KF212" s="275"/>
      <c r="KG212" s="275"/>
      <c r="KH212" s="275"/>
      <c r="KI212" s="275"/>
      <c r="KJ212" s="275"/>
      <c r="KK212" s="275"/>
      <c r="KL212" s="275"/>
      <c r="KM212" s="275"/>
      <c r="KN212" s="275"/>
      <c r="KO212" s="275"/>
      <c r="KP212" s="275"/>
      <c r="KQ212" s="275"/>
      <c r="KR212" s="275"/>
      <c r="KS212" s="275"/>
      <c r="KT212" s="275"/>
      <c r="KU212" s="275"/>
      <c r="KV212" s="275"/>
      <c r="KW212" s="275"/>
      <c r="KX212" s="275"/>
      <c r="KY212" s="275"/>
      <c r="KZ212" s="275"/>
      <c r="LA212" s="275"/>
      <c r="LB212" s="275"/>
      <c r="LC212" s="275"/>
      <c r="LD212" s="275"/>
      <c r="LE212" s="275"/>
      <c r="LF212" s="275"/>
      <c r="LG212" s="275"/>
      <c r="LH212" s="275"/>
      <c r="LI212" s="275"/>
      <c r="LJ212" s="275"/>
      <c r="LK212" s="275"/>
      <c r="LL212" s="275"/>
      <c r="LM212" s="275"/>
      <c r="LN212" s="275"/>
      <c r="LO212" s="275"/>
      <c r="LP212" s="275"/>
      <c r="LQ212" s="275"/>
      <c r="LR212" s="275"/>
      <c r="LS212" s="275"/>
      <c r="LT212" s="275"/>
      <c r="LU212" s="275"/>
      <c r="LV212" s="275"/>
      <c r="LW212" s="275"/>
      <c r="LX212" s="275"/>
      <c r="LY212" s="275"/>
      <c r="LZ212" s="275"/>
      <c r="MA212" s="275"/>
      <c r="MB212" s="275"/>
      <c r="MC212" s="275"/>
      <c r="MD212" s="275"/>
      <c r="ME212" s="275"/>
      <c r="MF212" s="275"/>
      <c r="MG212" s="275"/>
      <c r="MH212" s="275"/>
      <c r="MI212" s="275"/>
      <c r="MJ212" s="275"/>
      <c r="MK212" s="275"/>
      <c r="ML212" s="275"/>
      <c r="MM212" s="275"/>
      <c r="MN212" s="275"/>
      <c r="MO212" s="275"/>
      <c r="MP212" s="275"/>
      <c r="MQ212" s="275"/>
      <c r="MR212" s="275"/>
      <c r="MS212" s="275"/>
      <c r="MT212" s="275"/>
      <c r="MU212" s="275"/>
      <c r="MV212" s="275"/>
      <c r="MW212" s="275"/>
      <c r="MX212" s="275"/>
      <c r="MY212" s="275"/>
      <c r="MZ212" s="275"/>
      <c r="NA212" s="275"/>
      <c r="NB212" s="275"/>
      <c r="NC212" s="275"/>
      <c r="ND212" s="275"/>
      <c r="NE212" s="275"/>
      <c r="NF212" s="275"/>
      <c r="NG212" s="275"/>
      <c r="NH212" s="275"/>
      <c r="NI212" s="275"/>
      <c r="NJ212" s="275"/>
      <c r="NK212" s="275"/>
      <c r="NL212" s="275"/>
      <c r="NM212" s="275"/>
      <c r="NN212" s="275"/>
      <c r="NO212" s="275"/>
      <c r="NP212" s="275"/>
      <c r="NQ212" s="275"/>
      <c r="NR212" s="275"/>
      <c r="NS212" s="275"/>
      <c r="NT212" s="275"/>
      <c r="NU212" s="275"/>
      <c r="NV212" s="275"/>
      <c r="NW212" s="275"/>
      <c r="NX212" s="275"/>
      <c r="NY212" s="275"/>
      <c r="NZ212" s="275"/>
      <c r="OA212" s="275"/>
      <c r="OB212" s="275"/>
      <c r="OC212" s="275"/>
      <c r="OD212" s="275"/>
      <c r="OE212" s="275"/>
      <c r="OF212" s="275"/>
      <c r="OG212" s="275"/>
      <c r="OH212" s="275"/>
      <c r="OI212" s="275"/>
      <c r="OJ212" s="275"/>
      <c r="OK212" s="275"/>
      <c r="OL212" s="275"/>
      <c r="OM212" s="275"/>
      <c r="ON212" s="275"/>
      <c r="OO212" s="275"/>
      <c r="OP212" s="275"/>
      <c r="OQ212" s="275"/>
      <c r="OR212" s="275"/>
      <c r="OS212" s="275"/>
      <c r="OT212" s="275"/>
      <c r="OU212" s="275"/>
      <c r="OV212" s="275"/>
      <c r="OW212" s="275"/>
      <c r="OX212" s="275"/>
      <c r="OY212" s="275"/>
      <c r="OZ212" s="275"/>
      <c r="PA212" s="275"/>
      <c r="PB212" s="275"/>
      <c r="PC212" s="275"/>
      <c r="PD212" s="275"/>
      <c r="PE212" s="275"/>
      <c r="PF212" s="275"/>
      <c r="PG212" s="275"/>
      <c r="PH212" s="275"/>
      <c r="PI212" s="275"/>
      <c r="PJ212" s="275"/>
      <c r="PK212" s="275"/>
      <c r="PL212" s="275"/>
      <c r="PM212" s="275"/>
      <c r="PN212" s="275"/>
      <c r="PO212" s="275"/>
      <c r="PP212" s="275"/>
      <c r="PQ212" s="275"/>
      <c r="PR212" s="275"/>
      <c r="PS212" s="275"/>
      <c r="PT212" s="275"/>
      <c r="PU212" s="275"/>
      <c r="PV212" s="275"/>
      <c r="PW212" s="275"/>
      <c r="PX212" s="275"/>
      <c r="PY212" s="275"/>
      <c r="PZ212" s="275"/>
      <c r="QA212" s="275"/>
      <c r="QB212" s="275"/>
      <c r="QC212" s="275"/>
      <c r="QD212" s="275"/>
      <c r="QE212" s="275"/>
      <c r="QF212" s="275"/>
      <c r="QG212" s="275"/>
      <c r="QH212" s="275"/>
      <c r="QI212" s="275"/>
      <c r="QJ212" s="275"/>
      <c r="QK212" s="275"/>
      <c r="QL212" s="275"/>
      <c r="QM212" s="275"/>
      <c r="QN212" s="275"/>
      <c r="QO212" s="275"/>
      <c r="QP212" s="275"/>
      <c r="QQ212" s="275"/>
      <c r="QR212" s="275"/>
      <c r="QS212" s="275"/>
      <c r="QT212" s="275"/>
      <c r="QU212" s="275"/>
      <c r="QV212" s="275"/>
      <c r="QW212" s="275"/>
      <c r="QX212" s="275"/>
      <c r="QY212" s="275"/>
      <c r="QZ212" s="275"/>
      <c r="RA212" s="275"/>
      <c r="RB212" s="275"/>
      <c r="RC212" s="275"/>
      <c r="RD212" s="275"/>
      <c r="RE212" s="275"/>
      <c r="RF212" s="275"/>
      <c r="RG212" s="275"/>
      <c r="RH212" s="275"/>
      <c r="RI212" s="275"/>
      <c r="RJ212" s="275"/>
      <c r="RK212" s="275"/>
      <c r="RL212" s="275"/>
      <c r="RM212" s="275"/>
      <c r="RN212" s="275"/>
      <c r="RO212" s="275"/>
      <c r="RP212" s="275"/>
      <c r="RQ212" s="275"/>
      <c r="RR212" s="275"/>
      <c r="RS212" s="275"/>
      <c r="RT212" s="275"/>
      <c r="RU212" s="275"/>
      <c r="RV212" s="275"/>
      <c r="RW212" s="275"/>
      <c r="RX212" s="275"/>
      <c r="RY212" s="275"/>
      <c r="RZ212" s="275"/>
      <c r="SA212" s="275"/>
      <c r="SB212" s="275"/>
      <c r="SC212" s="275"/>
      <c r="SD212" s="275"/>
      <c r="SE212" s="275"/>
      <c r="SF212" s="275"/>
      <c r="SG212" s="275"/>
      <c r="SH212" s="275"/>
      <c r="SI212" s="275"/>
      <c r="SJ212" s="275"/>
      <c r="SK212" s="275"/>
      <c r="SL212" s="275"/>
      <c r="SM212" s="275"/>
      <c r="SN212" s="275"/>
      <c r="SO212" s="275"/>
      <c r="SP212" s="275"/>
      <c r="SQ212" s="275"/>
      <c r="SR212" s="275"/>
      <c r="SS212" s="275"/>
      <c r="ST212" s="275"/>
      <c r="SU212" s="275"/>
      <c r="SV212" s="275"/>
      <c r="SW212" s="275"/>
      <c r="SX212" s="275"/>
      <c r="SY212" s="275"/>
      <c r="SZ212" s="275"/>
      <c r="TA212" s="275"/>
      <c r="TB212" s="275"/>
      <c r="TC212" s="275"/>
      <c r="TD212" s="275"/>
      <c r="TE212" s="275"/>
      <c r="TF212" s="275"/>
      <c r="TG212" s="275"/>
      <c r="TH212" s="275"/>
      <c r="TI212" s="275"/>
      <c r="TJ212" s="275"/>
      <c r="TK212" s="275"/>
      <c r="TL212" s="275"/>
      <c r="TM212" s="275"/>
      <c r="TN212" s="275"/>
      <c r="TO212" s="275"/>
      <c r="TP212" s="275"/>
      <c r="TQ212" s="275"/>
      <c r="TR212" s="275"/>
      <c r="TS212" s="275"/>
      <c r="TT212" s="275"/>
      <c r="TU212" s="275"/>
      <c r="TV212" s="275"/>
      <c r="TW212" s="275"/>
      <c r="TX212" s="275"/>
      <c r="TY212" s="275"/>
      <c r="TZ212" s="275"/>
      <c r="UA212" s="275"/>
      <c r="UB212" s="275"/>
      <c r="UC212" s="275"/>
      <c r="UD212" s="275"/>
      <c r="UE212" s="275"/>
      <c r="UF212" s="275"/>
      <c r="UG212" s="275"/>
      <c r="UH212" s="275"/>
      <c r="UI212" s="275"/>
      <c r="UJ212" s="275"/>
      <c r="UK212" s="275"/>
      <c r="UL212" s="275"/>
      <c r="UM212" s="275"/>
      <c r="UN212" s="275"/>
      <c r="UO212" s="275"/>
      <c r="UP212" s="275"/>
      <c r="UQ212" s="275"/>
      <c r="UR212" s="275"/>
      <c r="US212" s="275"/>
      <c r="UT212" s="275"/>
      <c r="UU212" s="275"/>
      <c r="UV212" s="275"/>
      <c r="UW212" s="275"/>
      <c r="UX212" s="275"/>
      <c r="UY212" s="275"/>
      <c r="UZ212" s="275"/>
      <c r="VA212" s="275"/>
      <c r="VB212" s="275"/>
      <c r="VC212" s="275"/>
      <c r="VD212" s="275"/>
      <c r="VE212" s="275"/>
      <c r="VF212" s="275"/>
      <c r="VG212" s="275"/>
      <c r="VH212" s="275"/>
      <c r="VI212" s="275"/>
      <c r="VJ212" s="275"/>
      <c r="VK212" s="275"/>
      <c r="VL212" s="275"/>
      <c r="VM212" s="275"/>
      <c r="VN212" s="275"/>
      <c r="VO212" s="275"/>
      <c r="VP212" s="275"/>
      <c r="VQ212" s="275"/>
      <c r="VR212" s="275"/>
      <c r="VS212" s="275"/>
      <c r="VT212" s="275"/>
      <c r="VU212" s="275"/>
      <c r="VV212" s="275"/>
      <c r="VW212" s="275"/>
      <c r="VX212" s="275"/>
      <c r="VY212" s="275"/>
      <c r="VZ212" s="275"/>
      <c r="WA212" s="275"/>
      <c r="WB212" s="275"/>
      <c r="WC212" s="275"/>
      <c r="WD212" s="275"/>
      <c r="WE212" s="275"/>
      <c r="WF212" s="275"/>
      <c r="WG212" s="275"/>
      <c r="WH212" s="275"/>
      <c r="WI212" s="275"/>
      <c r="WJ212" s="275"/>
      <c r="WK212" s="275"/>
      <c r="WL212" s="275"/>
      <c r="WM212" s="275"/>
      <c r="WN212" s="275"/>
      <c r="WO212" s="275"/>
      <c r="WP212" s="275"/>
      <c r="WQ212" s="275"/>
      <c r="WR212" s="275"/>
      <c r="WS212" s="275"/>
      <c r="WT212" s="275"/>
      <c r="WU212" s="275"/>
      <c r="WV212" s="275"/>
      <c r="WW212" s="275"/>
      <c r="WX212" s="275"/>
      <c r="WY212" s="275"/>
      <c r="WZ212" s="275"/>
      <c r="XA212" s="275"/>
      <c r="XB212" s="275"/>
      <c r="XC212" s="275"/>
      <c r="XD212" s="275"/>
      <c r="XE212" s="275"/>
      <c r="XF212" s="275"/>
      <c r="XG212" s="275"/>
      <c r="XH212" s="275"/>
      <c r="XI212" s="275"/>
      <c r="XJ212" s="275"/>
      <c r="XK212" s="275"/>
      <c r="XL212" s="275"/>
      <c r="XM212" s="275"/>
      <c r="XN212" s="275"/>
      <c r="XO212" s="275"/>
      <c r="XP212" s="275"/>
      <c r="XQ212" s="275"/>
      <c r="XR212" s="275"/>
      <c r="XS212" s="275"/>
      <c r="XT212" s="275"/>
      <c r="XU212" s="275"/>
      <c r="XV212" s="275"/>
      <c r="XW212" s="275"/>
      <c r="XX212" s="275"/>
      <c r="XY212" s="275"/>
      <c r="XZ212" s="275"/>
      <c r="YA212" s="275"/>
      <c r="YB212" s="275"/>
      <c r="YC212" s="275"/>
      <c r="YD212" s="275"/>
      <c r="YE212" s="275"/>
      <c r="YF212" s="275"/>
      <c r="YG212" s="275"/>
      <c r="YH212" s="275"/>
      <c r="YI212" s="275"/>
      <c r="YJ212" s="275"/>
      <c r="YK212" s="275"/>
      <c r="YL212" s="275"/>
      <c r="YM212" s="275"/>
      <c r="YN212" s="275"/>
      <c r="YO212" s="275"/>
      <c r="YP212" s="275"/>
      <c r="YQ212" s="275"/>
      <c r="YR212" s="275"/>
      <c r="YS212" s="275"/>
      <c r="YT212" s="275"/>
      <c r="YU212" s="275"/>
      <c r="YV212" s="275"/>
      <c r="YW212" s="275"/>
      <c r="YX212" s="275"/>
      <c r="YY212" s="275"/>
      <c r="YZ212" s="275"/>
      <c r="ZA212" s="275"/>
      <c r="ZB212" s="275"/>
      <c r="ZC212" s="275"/>
      <c r="ZD212" s="275"/>
      <c r="ZE212" s="275"/>
      <c r="ZF212" s="275"/>
      <c r="ZG212" s="275"/>
      <c r="ZH212" s="275"/>
      <c r="ZI212" s="275"/>
      <c r="ZJ212" s="275"/>
      <c r="ZK212" s="275"/>
      <c r="ZL212" s="275"/>
      <c r="ZM212" s="275"/>
      <c r="ZN212" s="275"/>
      <c r="ZO212" s="275"/>
      <c r="ZP212" s="275"/>
      <c r="ZQ212" s="275"/>
      <c r="ZR212" s="275"/>
      <c r="ZS212" s="275"/>
      <c r="ZT212" s="275"/>
      <c r="ZU212" s="275"/>
      <c r="ZV212" s="275"/>
      <c r="ZW212" s="275"/>
      <c r="ZX212" s="275"/>
      <c r="ZY212" s="275"/>
      <c r="ZZ212" s="275"/>
      <c r="AAA212" s="275"/>
      <c r="AAB212" s="275"/>
      <c r="AAC212" s="275"/>
      <c r="AAD212" s="275"/>
      <c r="AAE212" s="275"/>
      <c r="AAF212" s="275"/>
      <c r="AAG212" s="275"/>
      <c r="AAH212" s="275"/>
      <c r="AAI212" s="275"/>
      <c r="AAJ212" s="275"/>
      <c r="AAK212" s="275"/>
      <c r="AAL212" s="275"/>
      <c r="AAM212" s="275"/>
      <c r="AAN212" s="275"/>
      <c r="AAO212" s="275"/>
      <c r="AAP212" s="275"/>
      <c r="AAQ212" s="275"/>
      <c r="AAR212" s="275"/>
      <c r="AAS212" s="275"/>
      <c r="AAT212" s="275"/>
      <c r="AAU212" s="275"/>
      <c r="AAV212" s="275"/>
      <c r="AAW212" s="275"/>
      <c r="AAX212" s="275"/>
      <c r="AAY212" s="275"/>
      <c r="AAZ212" s="275"/>
      <c r="ABA212" s="275"/>
      <c r="ABB212" s="275"/>
      <c r="ABC212" s="275"/>
      <c r="ABD212" s="275"/>
      <c r="ABE212" s="275"/>
      <c r="ABF212" s="275"/>
      <c r="ABG212" s="275"/>
      <c r="ABH212" s="275"/>
      <c r="ABI212" s="275"/>
      <c r="ABJ212" s="275"/>
      <c r="ABK212" s="275"/>
      <c r="ABL212" s="275"/>
      <c r="ABM212" s="275"/>
      <c r="ABN212" s="275"/>
      <c r="ABO212" s="275"/>
      <c r="ABP212" s="275"/>
      <c r="ABQ212" s="275"/>
      <c r="ABR212" s="275"/>
      <c r="ABS212" s="275"/>
      <c r="ABT212" s="275"/>
      <c r="ABU212" s="275"/>
      <c r="ABV212" s="275"/>
      <c r="ABW212" s="275"/>
      <c r="ABX212" s="275"/>
      <c r="ABY212" s="275"/>
      <c r="ABZ212" s="275"/>
      <c r="ACA212" s="275"/>
      <c r="ACB212" s="275"/>
      <c r="ACC212" s="275"/>
      <c r="ACD212" s="275"/>
      <c r="ACE212" s="275"/>
      <c r="ACF212" s="275"/>
      <c r="ACG212" s="275"/>
      <c r="ACH212" s="275"/>
      <c r="ACI212" s="275"/>
      <c r="ACJ212" s="275"/>
      <c r="ACK212" s="275"/>
      <c r="ACL212" s="275"/>
      <c r="ACM212" s="275"/>
      <c r="ACN212" s="275"/>
      <c r="ACO212" s="275"/>
      <c r="ACP212" s="275"/>
      <c r="ACQ212" s="275"/>
      <c r="ACR212" s="275"/>
      <c r="ACS212" s="275"/>
      <c r="ACT212" s="275"/>
      <c r="ACU212" s="275"/>
      <c r="ACV212" s="275"/>
      <c r="ACW212" s="275"/>
      <c r="ACX212" s="275"/>
      <c r="ACY212" s="275"/>
      <c r="ACZ212" s="275"/>
      <c r="ADA212" s="275"/>
      <c r="ADB212" s="275"/>
      <c r="ADC212" s="275"/>
      <c r="ADD212" s="275"/>
      <c r="ADE212" s="275"/>
      <c r="ADF212" s="275"/>
      <c r="ADG212" s="275"/>
      <c r="ADH212" s="275"/>
      <c r="ADI212" s="275"/>
      <c r="ADJ212" s="275"/>
      <c r="ADK212" s="275"/>
      <c r="ADL212" s="275"/>
      <c r="ADM212" s="275"/>
      <c r="ADN212" s="275"/>
      <c r="ADO212" s="275"/>
      <c r="ADP212" s="275"/>
      <c r="ADQ212" s="275"/>
      <c r="ADR212" s="275"/>
      <c r="ADS212" s="275"/>
      <c r="ADT212" s="275"/>
      <c r="ADU212" s="275"/>
      <c r="ADV212" s="275"/>
      <c r="ADW212" s="275"/>
      <c r="ADX212" s="275"/>
      <c r="ADY212" s="275"/>
      <c r="ADZ212" s="275"/>
      <c r="AEA212" s="275"/>
      <c r="AEB212" s="275"/>
      <c r="AEC212" s="275"/>
      <c r="AED212" s="275"/>
      <c r="AEE212" s="275"/>
      <c r="AEF212" s="275"/>
      <c r="AEG212" s="275"/>
      <c r="AEH212" s="275"/>
      <c r="AEI212" s="275"/>
      <c r="AEJ212" s="275"/>
      <c r="AEK212" s="275"/>
      <c r="AEL212" s="275"/>
      <c r="AEM212" s="275"/>
      <c r="AEN212" s="275"/>
      <c r="AEO212" s="275"/>
      <c r="AEP212" s="275"/>
      <c r="AEQ212" s="275"/>
      <c r="AER212" s="275"/>
      <c r="AES212" s="275"/>
      <c r="AET212" s="275"/>
      <c r="AEU212" s="275"/>
      <c r="AEV212" s="275"/>
      <c r="AEW212" s="275"/>
      <c r="AEX212" s="275"/>
      <c r="AEY212" s="275"/>
      <c r="AEZ212" s="275"/>
      <c r="AFA212" s="275"/>
      <c r="AFB212" s="275"/>
      <c r="AFC212" s="275"/>
      <c r="AFD212" s="275"/>
      <c r="AFE212" s="275"/>
      <c r="AFF212" s="275"/>
      <c r="AFG212" s="275"/>
      <c r="AFH212" s="275"/>
      <c r="AFI212" s="275"/>
      <c r="AFJ212" s="275"/>
      <c r="AFK212" s="275"/>
      <c r="AFL212" s="275"/>
      <c r="AFM212" s="275"/>
      <c r="AFN212" s="275"/>
      <c r="AFO212" s="275"/>
      <c r="AFP212" s="275"/>
      <c r="AFQ212" s="275"/>
      <c r="AFR212" s="275"/>
      <c r="AFS212" s="275"/>
      <c r="AFT212" s="275"/>
      <c r="AFU212" s="275"/>
      <c r="AFV212" s="275"/>
      <c r="AFW212" s="275"/>
      <c r="AFX212" s="275"/>
      <c r="AFY212" s="275"/>
      <c r="AFZ212" s="275"/>
      <c r="AGA212" s="275"/>
      <c r="AGB212" s="275"/>
      <c r="AGC212" s="275"/>
      <c r="AGD212" s="275"/>
      <c r="AGE212" s="275"/>
      <c r="AGF212" s="275"/>
      <c r="AGG212" s="275"/>
      <c r="AGH212" s="275"/>
      <c r="AGI212" s="275"/>
      <c r="AGJ212" s="275"/>
      <c r="AGK212" s="275"/>
      <c r="AGL212" s="275"/>
      <c r="AGM212" s="275"/>
      <c r="AGN212" s="275"/>
      <c r="AGO212" s="275"/>
      <c r="AGP212" s="275"/>
      <c r="AGQ212" s="275"/>
      <c r="AGR212" s="275"/>
      <c r="AGS212" s="275"/>
      <c r="AGT212" s="275"/>
      <c r="AGU212" s="275"/>
      <c r="AGV212" s="275"/>
      <c r="AGW212" s="275"/>
      <c r="AGX212" s="275"/>
      <c r="AGY212" s="275"/>
      <c r="AGZ212" s="275"/>
      <c r="AHA212" s="275"/>
      <c r="AHB212" s="275"/>
      <c r="AHC212" s="275"/>
      <c r="AHD212" s="275"/>
      <c r="AHE212" s="275"/>
      <c r="AHF212" s="275"/>
      <c r="AHG212" s="275"/>
      <c r="AHH212" s="275"/>
      <c r="AHI212" s="275"/>
      <c r="AHJ212" s="275"/>
      <c r="AHK212" s="275"/>
      <c r="AHL212" s="275"/>
      <c r="AHM212" s="275"/>
      <c r="AHN212" s="275"/>
      <c r="AHO212" s="275"/>
      <c r="AHP212" s="275"/>
      <c r="AHQ212" s="275"/>
      <c r="AHR212" s="275"/>
      <c r="AHS212" s="275"/>
      <c r="AHT212" s="275"/>
      <c r="AHU212" s="275"/>
      <c r="AHV212" s="275"/>
      <c r="AHW212" s="275"/>
      <c r="AHX212" s="275"/>
      <c r="AHY212" s="275"/>
      <c r="AHZ212" s="275"/>
      <c r="AIA212" s="275"/>
      <c r="AIB212" s="275"/>
      <c r="AIC212" s="275"/>
      <c r="AID212" s="275"/>
      <c r="AIE212" s="275"/>
      <c r="AIF212" s="275"/>
      <c r="AIG212" s="275"/>
      <c r="AIH212" s="275"/>
      <c r="AII212" s="275"/>
      <c r="AIJ212" s="275"/>
      <c r="AIK212" s="275"/>
      <c r="AIL212" s="275"/>
      <c r="AIM212" s="275"/>
      <c r="AIN212" s="275"/>
      <c r="AIO212" s="275"/>
      <c r="AIP212" s="275"/>
      <c r="AIQ212" s="275"/>
      <c r="AIR212" s="275"/>
      <c r="AIS212" s="275"/>
      <c r="AIT212" s="275"/>
      <c r="AIU212" s="275"/>
      <c r="AIV212" s="275"/>
      <c r="AIW212" s="275"/>
      <c r="AIX212" s="275"/>
      <c r="AIY212" s="275"/>
      <c r="AIZ212" s="275"/>
      <c r="AJA212" s="275"/>
      <c r="AJB212" s="275"/>
      <c r="AJC212" s="275"/>
      <c r="AJD212" s="275"/>
      <c r="AJE212" s="275"/>
      <c r="AJF212" s="275"/>
      <c r="AJG212" s="275"/>
      <c r="AJH212" s="275"/>
      <c r="AJI212" s="275"/>
      <c r="AJJ212" s="275"/>
      <c r="AJK212" s="275"/>
      <c r="AJL212" s="275"/>
      <c r="AJM212" s="275"/>
      <c r="AJN212" s="275"/>
      <c r="AJO212" s="275"/>
      <c r="AJP212" s="275"/>
      <c r="AJQ212" s="275"/>
      <c r="AJR212" s="275"/>
      <c r="AJS212" s="275"/>
      <c r="AJT212" s="275"/>
      <c r="AJU212" s="275"/>
      <c r="AJV212" s="275"/>
      <c r="AJW212" s="275"/>
      <c r="AJX212" s="275"/>
      <c r="AJY212" s="275"/>
      <c r="AJZ212" s="275"/>
      <c r="AKA212" s="275"/>
      <c r="AKB212" s="275"/>
      <c r="AKC212" s="275"/>
      <c r="AKD212" s="275"/>
      <c r="AKE212" s="275"/>
      <c r="AKF212" s="275"/>
      <c r="AKG212" s="275"/>
      <c r="AKH212" s="275"/>
      <c r="AKI212" s="275"/>
      <c r="AKJ212" s="275"/>
      <c r="AKK212" s="275"/>
      <c r="AKL212" s="275"/>
      <c r="AKM212" s="275"/>
      <c r="AKN212" s="275"/>
      <c r="AKO212" s="275"/>
      <c r="AKP212" s="275"/>
      <c r="AKQ212" s="275"/>
      <c r="AKR212" s="275"/>
      <c r="AKS212" s="275"/>
      <c r="AKT212" s="275"/>
      <c r="AKU212" s="275"/>
      <c r="AKV212" s="275"/>
      <c r="AKW212" s="275"/>
      <c r="AKX212" s="275"/>
      <c r="AKY212" s="275"/>
      <c r="AKZ212" s="275"/>
      <c r="ALA212" s="275"/>
      <c r="ALB212" s="275"/>
      <c r="ALC212" s="275"/>
      <c r="ALD212" s="275"/>
      <c r="ALE212" s="275"/>
      <c r="ALF212" s="275"/>
      <c r="ALG212" s="275"/>
      <c r="ALH212" s="275"/>
      <c r="ALI212" s="275"/>
      <c r="ALJ212" s="275"/>
      <c r="ALK212" s="275"/>
      <c r="ALL212" s="275"/>
      <c r="ALM212" s="275"/>
      <c r="ALN212" s="275"/>
      <c r="ALO212" s="275"/>
      <c r="ALP212" s="275"/>
      <c r="ALQ212" s="275"/>
      <c r="ALR212" s="275"/>
      <c r="ALS212" s="275"/>
      <c r="ALT212" s="275"/>
      <c r="ALU212" s="275"/>
      <c r="ALV212" s="275"/>
      <c r="ALW212" s="275"/>
      <c r="ALX212" s="275"/>
      <c r="ALY212" s="275"/>
      <c r="ALZ212" s="275"/>
      <c r="AMA212" s="275"/>
      <c r="AMB212" s="275"/>
      <c r="AMC212" s="275"/>
      <c r="AMD212" s="275"/>
      <c r="AME212" s="275"/>
      <c r="AMF212" s="275"/>
      <c r="AMG212" s="275"/>
      <c r="AMH212" s="275"/>
      <c r="AMI212" s="275"/>
      <c r="AMJ212" s="275"/>
      <c r="AMK212" s="275"/>
      <c r="AML212" s="275"/>
      <c r="AMM212" s="275"/>
      <c r="AMN212" s="275"/>
      <c r="AMO212" s="275"/>
      <c r="AMP212" s="275"/>
      <c r="AMQ212" s="275"/>
      <c r="AMR212" s="275"/>
      <c r="AMS212" s="275"/>
      <c r="AMT212" s="275"/>
      <c r="AMU212" s="275"/>
      <c r="AMV212" s="275"/>
      <c r="AMW212" s="275"/>
      <c r="AMX212" s="275"/>
      <c r="AMY212" s="275"/>
      <c r="AMZ212" s="275"/>
      <c r="ANA212" s="275"/>
      <c r="ANB212" s="275"/>
      <c r="ANC212" s="275"/>
      <c r="AND212" s="275"/>
      <c r="ANE212" s="275"/>
      <c r="ANF212" s="275"/>
      <c r="ANG212" s="275"/>
      <c r="ANH212" s="275"/>
      <c r="ANI212" s="275"/>
      <c r="ANJ212" s="275"/>
      <c r="ANK212" s="275"/>
      <c r="ANL212" s="275"/>
      <c r="ANM212" s="275"/>
      <c r="ANN212" s="275"/>
      <c r="ANO212" s="275"/>
      <c r="ANP212" s="275"/>
      <c r="ANQ212" s="275"/>
      <c r="ANR212" s="275"/>
      <c r="ANS212" s="275"/>
      <c r="ANT212" s="275"/>
      <c r="ANU212" s="275"/>
      <c r="ANV212" s="275"/>
      <c r="ANW212" s="275"/>
      <c r="ANX212" s="275"/>
      <c r="ANY212" s="275"/>
      <c r="ANZ212" s="275"/>
      <c r="AOA212" s="275"/>
      <c r="AOB212" s="275"/>
      <c r="AOC212" s="275"/>
      <c r="AOD212" s="275"/>
      <c r="AOE212" s="275"/>
      <c r="AOF212" s="275"/>
      <c r="AOG212" s="275"/>
      <c r="AOH212" s="275"/>
      <c r="AOI212" s="275"/>
      <c r="AOJ212" s="275"/>
      <c r="AOK212" s="275"/>
      <c r="AOL212" s="275"/>
      <c r="AOM212" s="275"/>
      <c r="AON212" s="275"/>
      <c r="AOO212" s="275"/>
      <c r="AOP212" s="275"/>
      <c r="AOQ212" s="275"/>
      <c r="AOR212" s="275"/>
      <c r="AOS212" s="275"/>
      <c r="AOT212" s="275"/>
      <c r="AOU212" s="275"/>
      <c r="AOV212" s="275"/>
      <c r="AOW212" s="275"/>
      <c r="AOX212" s="275"/>
      <c r="AOY212" s="275"/>
      <c r="AOZ212" s="275"/>
      <c r="APA212" s="275"/>
      <c r="APB212" s="275"/>
      <c r="APC212" s="275"/>
      <c r="APD212" s="275"/>
      <c r="APE212" s="275"/>
      <c r="APF212" s="275"/>
      <c r="APG212" s="275"/>
      <c r="APH212" s="275"/>
      <c r="API212" s="275"/>
      <c r="APJ212" s="275"/>
      <c r="APK212" s="275"/>
      <c r="APL212" s="275"/>
      <c r="APM212" s="275"/>
      <c r="APN212" s="275"/>
      <c r="APO212" s="275"/>
      <c r="APP212" s="275"/>
      <c r="APQ212" s="275"/>
      <c r="APR212" s="275"/>
      <c r="APS212" s="275"/>
      <c r="APT212" s="275"/>
      <c r="APU212" s="275"/>
      <c r="APV212" s="275"/>
      <c r="APW212" s="275"/>
      <c r="APX212" s="275"/>
      <c r="APY212" s="275"/>
      <c r="APZ212" s="275"/>
      <c r="AQA212" s="275"/>
      <c r="AQB212" s="275"/>
      <c r="AQC212" s="275"/>
      <c r="AQD212" s="275"/>
      <c r="AQE212" s="275"/>
      <c r="AQF212" s="275"/>
      <c r="AQG212" s="275"/>
      <c r="AQH212" s="275"/>
      <c r="AQI212" s="275"/>
      <c r="AQJ212" s="275"/>
      <c r="AQK212" s="275"/>
      <c r="AQL212" s="275"/>
      <c r="AQM212" s="275"/>
      <c r="AQN212" s="275"/>
      <c r="AQO212" s="275"/>
      <c r="AQP212" s="275"/>
      <c r="AQQ212" s="275"/>
      <c r="AQR212" s="275"/>
      <c r="AQS212" s="275"/>
      <c r="AQT212" s="275"/>
      <c r="AQU212" s="275"/>
      <c r="AQV212" s="275"/>
      <c r="AQW212" s="275"/>
      <c r="AQX212" s="275"/>
      <c r="AQY212" s="275"/>
      <c r="AQZ212" s="275"/>
      <c r="ARA212" s="275"/>
      <c r="ARB212" s="275"/>
      <c r="ARC212" s="275"/>
      <c r="ARD212" s="275"/>
      <c r="ARE212" s="275"/>
      <c r="ARF212" s="275"/>
      <c r="ARG212" s="275"/>
      <c r="ARH212" s="275"/>
      <c r="ARI212" s="275"/>
      <c r="ARJ212" s="275"/>
      <c r="ARK212" s="275"/>
      <c r="ARL212" s="275"/>
      <c r="ARM212" s="275"/>
      <c r="ARN212" s="275"/>
      <c r="ARO212" s="275"/>
      <c r="ARP212" s="275"/>
      <c r="ARQ212" s="275"/>
      <c r="ARR212" s="275"/>
      <c r="ARS212" s="275"/>
      <c r="ART212" s="275"/>
      <c r="ARU212" s="275"/>
      <c r="ARV212" s="275"/>
      <c r="ARW212" s="275"/>
      <c r="ARX212" s="275"/>
      <c r="ARY212" s="275"/>
      <c r="ARZ212" s="275"/>
      <c r="ASA212" s="275"/>
      <c r="ASB212" s="275"/>
      <c r="ASC212" s="275"/>
      <c r="ASD212" s="275"/>
      <c r="ASE212" s="275"/>
      <c r="ASF212" s="275"/>
      <c r="ASG212" s="275"/>
      <c r="ASH212" s="275"/>
      <c r="ASI212" s="275"/>
      <c r="ASJ212" s="275"/>
      <c r="ASK212" s="275"/>
      <c r="ASL212" s="275"/>
      <c r="ASM212" s="275"/>
      <c r="ASN212" s="275"/>
      <c r="ASO212" s="275"/>
      <c r="ASP212" s="275"/>
      <c r="ASQ212" s="275"/>
      <c r="ASR212" s="275"/>
      <c r="ASS212" s="275"/>
      <c r="AST212" s="275"/>
      <c r="ASU212" s="275"/>
      <c r="ASV212" s="275"/>
      <c r="ASW212" s="275"/>
      <c r="ASX212" s="275"/>
      <c r="ASY212" s="275"/>
      <c r="ASZ212" s="275"/>
      <c r="ATA212" s="275"/>
      <c r="ATB212" s="275"/>
      <c r="ATC212" s="275"/>
      <c r="ATD212" s="275"/>
      <c r="ATE212" s="275"/>
      <c r="ATF212" s="275"/>
      <c r="ATG212" s="275"/>
      <c r="ATH212" s="275"/>
      <c r="ATI212" s="275"/>
      <c r="ATJ212" s="275"/>
      <c r="ATK212" s="275"/>
      <c r="ATL212" s="275"/>
      <c r="ATM212" s="275"/>
      <c r="ATN212" s="275"/>
      <c r="ATO212" s="275"/>
      <c r="ATP212" s="275"/>
      <c r="ATQ212" s="275"/>
      <c r="ATR212" s="275"/>
      <c r="ATS212" s="275"/>
      <c r="ATT212" s="275"/>
      <c r="ATU212" s="275"/>
      <c r="ATV212" s="275"/>
      <c r="ATW212" s="275"/>
      <c r="ATX212" s="275"/>
      <c r="ATY212" s="275"/>
      <c r="ATZ212" s="275"/>
      <c r="AUA212" s="275"/>
      <c r="AUB212" s="275"/>
      <c r="AUC212" s="275"/>
      <c r="AUD212" s="275"/>
      <c r="AUE212" s="275"/>
      <c r="AUF212" s="275"/>
      <c r="AUG212" s="275"/>
      <c r="AUH212" s="275"/>
      <c r="AUI212" s="275"/>
      <c r="AUJ212" s="275"/>
      <c r="AUK212" s="275"/>
      <c r="AUL212" s="275"/>
      <c r="AUM212" s="275"/>
      <c r="AUN212" s="275"/>
      <c r="AUO212" s="275"/>
      <c r="AUP212" s="275"/>
      <c r="AUQ212" s="275"/>
      <c r="AUR212" s="275"/>
      <c r="AUS212" s="275"/>
      <c r="AUT212" s="275"/>
      <c r="AUU212" s="275"/>
      <c r="AUV212" s="275"/>
      <c r="AUW212" s="275"/>
      <c r="AUX212" s="275"/>
      <c r="AUY212" s="275"/>
      <c r="AUZ212" s="275"/>
      <c r="AVA212" s="275"/>
      <c r="AVB212" s="275"/>
      <c r="AVC212" s="275"/>
      <c r="AVD212" s="275"/>
      <c r="AVE212" s="275"/>
      <c r="AVF212" s="275"/>
      <c r="AVG212" s="275"/>
      <c r="AVH212" s="275"/>
      <c r="AVI212" s="275"/>
      <c r="AVJ212" s="275"/>
      <c r="AVK212" s="275"/>
      <c r="AVL212" s="275"/>
      <c r="AVM212" s="275"/>
      <c r="AVN212" s="275"/>
      <c r="AVO212" s="275"/>
      <c r="AVP212" s="275"/>
      <c r="AVQ212" s="275"/>
      <c r="AVR212" s="275"/>
      <c r="AVS212" s="275"/>
      <c r="AVT212" s="275"/>
      <c r="AVU212" s="275"/>
      <c r="AVV212" s="275"/>
      <c r="AVW212" s="275"/>
      <c r="AVX212" s="275"/>
      <c r="AVY212" s="275"/>
      <c r="AVZ212" s="275"/>
      <c r="AWA212" s="275"/>
      <c r="AWB212" s="275"/>
      <c r="AWC212" s="275"/>
      <c r="AWD212" s="275"/>
      <c r="AWE212" s="275"/>
      <c r="AWF212" s="275"/>
      <c r="AWG212" s="275"/>
      <c r="AWH212" s="275"/>
      <c r="AWI212" s="275"/>
      <c r="AWJ212" s="275"/>
      <c r="AWK212" s="275"/>
      <c r="AWL212" s="275"/>
      <c r="AWM212" s="275"/>
      <c r="AWN212" s="275"/>
      <c r="AWO212" s="275"/>
      <c r="AWP212" s="275"/>
      <c r="AWQ212" s="275"/>
      <c r="AWR212" s="275"/>
      <c r="AWS212" s="275"/>
      <c r="AWT212" s="275"/>
      <c r="AWU212" s="275"/>
      <c r="AWV212" s="275"/>
      <c r="AWW212" s="275"/>
      <c r="AWX212" s="275"/>
      <c r="AWY212" s="275"/>
      <c r="AWZ212" s="275"/>
      <c r="AXA212" s="275"/>
      <c r="AXB212" s="275"/>
      <c r="AXC212" s="275"/>
      <c r="AXD212" s="275"/>
      <c r="AXE212" s="275"/>
      <c r="AXF212" s="275"/>
      <c r="AXG212" s="275"/>
      <c r="AXH212" s="275"/>
      <c r="AXI212" s="275"/>
      <c r="AXJ212" s="275"/>
      <c r="AXK212" s="275"/>
      <c r="AXL212" s="275"/>
      <c r="AXM212" s="275"/>
      <c r="AXN212" s="275"/>
      <c r="AXO212" s="275"/>
      <c r="AXP212" s="275"/>
      <c r="AXQ212" s="275"/>
      <c r="AXR212" s="275"/>
      <c r="AXS212" s="275"/>
      <c r="AXT212" s="275"/>
      <c r="AXU212" s="275"/>
      <c r="AXV212" s="275"/>
      <c r="AXW212" s="275"/>
      <c r="AXX212" s="275"/>
      <c r="AXY212" s="275"/>
      <c r="AXZ212" s="275"/>
      <c r="AYA212" s="275"/>
      <c r="AYB212" s="275"/>
      <c r="AYC212" s="275"/>
      <c r="AYD212" s="275"/>
      <c r="AYE212" s="275"/>
      <c r="AYF212" s="275"/>
      <c r="AYG212" s="275"/>
      <c r="AYH212" s="275"/>
      <c r="AYI212" s="275"/>
      <c r="AYJ212" s="275"/>
      <c r="AYK212" s="275"/>
      <c r="AYL212" s="275"/>
      <c r="AYM212" s="275"/>
      <c r="AYN212" s="275"/>
      <c r="AYO212" s="275"/>
      <c r="AYP212" s="275"/>
      <c r="AYQ212" s="275"/>
      <c r="AYR212" s="275"/>
      <c r="AYS212" s="275"/>
      <c r="AYT212" s="275"/>
      <c r="AYU212" s="275"/>
      <c r="AYV212" s="275"/>
      <c r="AYW212" s="275"/>
      <c r="AYX212" s="275"/>
      <c r="AYY212" s="275"/>
      <c r="AYZ212" s="275"/>
      <c r="AZA212" s="275"/>
      <c r="AZB212" s="275"/>
      <c r="AZC212" s="275"/>
      <c r="AZD212" s="275"/>
      <c r="AZE212" s="275"/>
      <c r="AZF212" s="275"/>
      <c r="AZG212" s="275"/>
      <c r="AZH212" s="275"/>
      <c r="AZI212" s="275"/>
      <c r="AZJ212" s="275"/>
      <c r="AZK212" s="275"/>
      <c r="AZL212" s="275"/>
      <c r="AZM212" s="275"/>
      <c r="AZN212" s="275"/>
      <c r="AZO212" s="275"/>
      <c r="AZP212" s="275"/>
      <c r="AZQ212" s="275"/>
      <c r="AZR212" s="275"/>
      <c r="AZS212" s="275"/>
      <c r="AZT212" s="275"/>
      <c r="AZU212" s="275"/>
      <c r="AZV212" s="275"/>
      <c r="AZW212" s="275"/>
      <c r="AZX212" s="275"/>
      <c r="AZY212" s="275"/>
      <c r="AZZ212" s="275"/>
      <c r="BAA212" s="275"/>
      <c r="BAB212" s="275"/>
      <c r="BAC212" s="275"/>
      <c r="BAD212" s="275"/>
      <c r="BAE212" s="275"/>
      <c r="BAF212" s="275"/>
      <c r="BAG212" s="275"/>
      <c r="BAH212" s="275"/>
      <c r="BAI212" s="275"/>
      <c r="BAJ212" s="275"/>
      <c r="BAK212" s="275"/>
      <c r="BAL212" s="275"/>
      <c r="BAM212" s="275"/>
      <c r="BAN212" s="275"/>
      <c r="BAO212" s="275"/>
      <c r="BAP212" s="275"/>
      <c r="BAQ212" s="275"/>
      <c r="BAR212" s="275"/>
      <c r="BAS212" s="275"/>
      <c r="BAT212" s="275"/>
      <c r="BAU212" s="275"/>
      <c r="BAV212" s="275"/>
      <c r="BAW212" s="275"/>
      <c r="BAX212" s="275"/>
      <c r="BAY212" s="275"/>
      <c r="BAZ212" s="275"/>
      <c r="BBA212" s="275"/>
      <c r="BBB212" s="275"/>
      <c r="BBC212" s="275"/>
      <c r="BBD212" s="275"/>
      <c r="BBE212" s="275"/>
      <c r="BBF212" s="275"/>
      <c r="BBG212" s="275"/>
      <c r="BBH212" s="275"/>
      <c r="BBI212" s="275"/>
      <c r="BBJ212" s="275"/>
      <c r="BBK212" s="275"/>
      <c r="BBL212" s="275"/>
      <c r="BBM212" s="275"/>
      <c r="BBN212" s="275"/>
      <c r="BBO212" s="275"/>
      <c r="BBP212" s="275"/>
      <c r="BBQ212" s="275"/>
      <c r="BBR212" s="275"/>
      <c r="BBS212" s="275"/>
      <c r="BBT212" s="275"/>
      <c r="BBU212" s="275"/>
      <c r="BBV212" s="275"/>
      <c r="BBW212" s="275"/>
      <c r="BBX212" s="275"/>
      <c r="BBY212" s="275"/>
      <c r="BBZ212" s="275"/>
      <c r="BCA212" s="275"/>
      <c r="BCB212" s="275"/>
      <c r="BCC212" s="275"/>
      <c r="BCD212" s="275"/>
      <c r="BCE212" s="275"/>
      <c r="BCF212" s="275"/>
      <c r="BCG212" s="275"/>
      <c r="BCH212" s="275"/>
      <c r="BCI212" s="275"/>
      <c r="BCJ212" s="275"/>
      <c r="BCK212" s="275"/>
      <c r="BCL212" s="275"/>
      <c r="BCM212" s="275"/>
      <c r="BCN212" s="275"/>
      <c r="BCO212" s="275"/>
      <c r="BCP212" s="275"/>
      <c r="BCQ212" s="275"/>
      <c r="BCR212" s="275"/>
      <c r="BCS212" s="275"/>
      <c r="BCT212" s="275"/>
      <c r="BCU212" s="275"/>
      <c r="BCV212" s="275"/>
      <c r="BCW212" s="275"/>
      <c r="BCX212" s="275"/>
      <c r="BCY212" s="275"/>
      <c r="BCZ212" s="275"/>
      <c r="BDA212" s="275"/>
      <c r="BDB212" s="275"/>
      <c r="BDC212" s="275"/>
      <c r="BDD212" s="275"/>
      <c r="BDE212" s="275"/>
      <c r="BDF212" s="275"/>
      <c r="BDG212" s="275"/>
      <c r="BDH212" s="275"/>
      <c r="BDI212" s="275"/>
      <c r="BDJ212" s="275"/>
      <c r="BDK212" s="275"/>
      <c r="BDL212" s="275"/>
      <c r="BDM212" s="275"/>
      <c r="BDN212" s="275"/>
      <c r="BDO212" s="275"/>
      <c r="BDP212" s="275"/>
      <c r="BDQ212" s="275"/>
      <c r="BDR212" s="275"/>
      <c r="BDS212" s="275"/>
      <c r="BDT212" s="275"/>
      <c r="BDU212" s="275"/>
      <c r="BDV212" s="275"/>
      <c r="BDW212" s="275"/>
      <c r="BDX212" s="275"/>
      <c r="BDY212" s="275"/>
      <c r="BDZ212" s="275"/>
      <c r="BEA212" s="275"/>
      <c r="BEB212" s="275"/>
      <c r="BEC212" s="275"/>
      <c r="BED212" s="275"/>
      <c r="BEE212" s="275"/>
      <c r="BEF212" s="275"/>
      <c r="BEG212" s="275"/>
      <c r="BEH212" s="275"/>
      <c r="BEI212" s="275"/>
      <c r="BEJ212" s="275"/>
      <c r="BEK212" s="275"/>
      <c r="BEL212" s="275"/>
      <c r="BEM212" s="275"/>
      <c r="BEN212" s="275"/>
      <c r="BEO212" s="275"/>
      <c r="BEP212" s="275"/>
      <c r="BEQ212" s="275"/>
      <c r="BER212" s="275"/>
      <c r="BES212" s="275"/>
      <c r="BET212" s="275"/>
      <c r="BEU212" s="275"/>
      <c r="BEV212" s="275"/>
      <c r="BEW212" s="275"/>
      <c r="BEX212" s="275"/>
      <c r="BEY212" s="275"/>
      <c r="BEZ212" s="275"/>
      <c r="BFA212" s="275"/>
      <c r="BFB212" s="275"/>
      <c r="BFC212" s="275"/>
      <c r="BFD212" s="275"/>
      <c r="BFE212" s="275"/>
      <c r="BFF212" s="275"/>
      <c r="BFG212" s="275"/>
      <c r="BFH212" s="275"/>
      <c r="BFI212" s="275"/>
      <c r="BFJ212" s="275"/>
      <c r="BFK212" s="275"/>
      <c r="BFL212" s="275"/>
      <c r="BFM212" s="275"/>
      <c r="BFN212" s="275"/>
      <c r="BFO212" s="275"/>
      <c r="BFP212" s="275"/>
      <c r="BFQ212" s="275"/>
      <c r="BFR212" s="275"/>
      <c r="BFS212" s="275"/>
      <c r="BFT212" s="275"/>
      <c r="BFU212" s="275"/>
      <c r="BFV212" s="275"/>
      <c r="BFW212" s="275"/>
      <c r="BFX212" s="275"/>
      <c r="BFY212" s="275"/>
      <c r="BFZ212" s="275"/>
      <c r="BGA212" s="275"/>
      <c r="BGB212" s="275"/>
      <c r="BGC212" s="275"/>
      <c r="BGD212" s="275"/>
      <c r="BGE212" s="275"/>
      <c r="BGF212" s="275"/>
      <c r="BGG212" s="275"/>
      <c r="BGH212" s="275"/>
      <c r="BGI212" s="275"/>
      <c r="BGJ212" s="275"/>
      <c r="BGK212" s="275"/>
      <c r="BGL212" s="275"/>
      <c r="BGM212" s="275"/>
      <c r="BGN212" s="275"/>
      <c r="BGO212" s="275"/>
      <c r="BGP212" s="275"/>
      <c r="BGQ212" s="275"/>
      <c r="BGR212" s="275"/>
      <c r="BGS212" s="275"/>
      <c r="BGT212" s="275"/>
      <c r="BGU212" s="275"/>
      <c r="BGV212" s="275"/>
      <c r="BGW212" s="275"/>
      <c r="BGX212" s="275"/>
      <c r="BGY212" s="275"/>
      <c r="BGZ212" s="275"/>
      <c r="BHA212" s="275"/>
      <c r="BHB212" s="275"/>
      <c r="BHC212" s="275"/>
      <c r="BHD212" s="275"/>
      <c r="BHE212" s="275"/>
      <c r="BHF212" s="275"/>
      <c r="BHG212" s="275"/>
      <c r="BHH212" s="275"/>
      <c r="BHI212" s="275"/>
      <c r="BHJ212" s="275"/>
      <c r="BHK212" s="275"/>
      <c r="BHL212" s="275"/>
      <c r="BHM212" s="275"/>
      <c r="BHN212" s="275"/>
      <c r="BHO212" s="275"/>
      <c r="BHP212" s="275"/>
      <c r="BHQ212" s="275"/>
      <c r="BHR212" s="275"/>
      <c r="BHS212" s="275"/>
      <c r="BHT212" s="275"/>
      <c r="BHU212" s="275"/>
      <c r="BHV212" s="275"/>
      <c r="BHW212" s="275"/>
      <c r="BHX212" s="275"/>
      <c r="BHY212" s="275"/>
      <c r="BHZ212" s="275"/>
      <c r="BIA212" s="275"/>
      <c r="BIB212" s="275"/>
      <c r="BIC212" s="275"/>
      <c r="BID212" s="275"/>
      <c r="BIE212" s="275"/>
      <c r="BIF212" s="275"/>
      <c r="BIG212" s="275"/>
      <c r="BIH212" s="275"/>
      <c r="BII212" s="275"/>
      <c r="BIJ212" s="275"/>
      <c r="BIK212" s="275"/>
      <c r="BIL212" s="275"/>
      <c r="BIM212" s="275"/>
      <c r="BIN212" s="275"/>
      <c r="BIO212" s="275"/>
      <c r="BIP212" s="275"/>
      <c r="BIQ212" s="275"/>
      <c r="BIR212" s="275"/>
      <c r="BIS212" s="275"/>
      <c r="BIT212" s="275"/>
      <c r="BIU212" s="275"/>
      <c r="BIV212" s="275"/>
      <c r="BIW212" s="275"/>
      <c r="BIX212" s="275"/>
      <c r="BIY212" s="275"/>
      <c r="BIZ212" s="275"/>
      <c r="BJA212" s="275"/>
      <c r="BJB212" s="275"/>
      <c r="BJC212" s="275"/>
      <c r="BJD212" s="275"/>
      <c r="BJE212" s="275"/>
      <c r="BJF212" s="275"/>
      <c r="BJG212" s="275"/>
      <c r="BJH212" s="275"/>
      <c r="BJI212" s="275"/>
      <c r="BJJ212" s="275"/>
      <c r="BJK212" s="275"/>
      <c r="BJL212" s="275"/>
      <c r="BJM212" s="275"/>
      <c r="BJN212" s="275"/>
      <c r="BJO212" s="275"/>
      <c r="BJP212" s="275"/>
      <c r="BJQ212" s="275"/>
      <c r="BJR212" s="275"/>
      <c r="BJS212" s="275"/>
      <c r="BJT212" s="275"/>
      <c r="BJU212" s="275"/>
      <c r="BJV212" s="275"/>
      <c r="BJW212" s="275"/>
      <c r="BJX212" s="275"/>
      <c r="BJY212" s="275"/>
      <c r="BJZ212" s="275"/>
      <c r="BKA212" s="275"/>
      <c r="BKB212" s="275"/>
      <c r="BKC212" s="275"/>
      <c r="BKD212" s="275"/>
      <c r="BKE212" s="275"/>
      <c r="BKF212" s="275"/>
      <c r="BKG212" s="275"/>
      <c r="BKH212" s="275"/>
      <c r="BKI212" s="275"/>
      <c r="BKJ212" s="275"/>
      <c r="BKK212" s="275"/>
      <c r="BKL212" s="275"/>
      <c r="BKM212" s="275"/>
      <c r="BKN212" s="275"/>
      <c r="BKO212" s="275"/>
      <c r="BKP212" s="275"/>
      <c r="BKQ212" s="275"/>
      <c r="BKR212" s="275"/>
      <c r="BKS212" s="275"/>
      <c r="BKT212" s="275"/>
      <c r="BKU212" s="275"/>
      <c r="BKV212" s="275"/>
      <c r="BKW212" s="275"/>
      <c r="BKX212" s="275"/>
      <c r="BKY212" s="275"/>
      <c r="BKZ212" s="275"/>
      <c r="BLA212" s="275"/>
      <c r="BLB212" s="275"/>
      <c r="BLC212" s="275"/>
      <c r="BLD212" s="275"/>
      <c r="BLE212" s="275"/>
      <c r="BLF212" s="275"/>
      <c r="BLG212" s="275"/>
      <c r="BLH212" s="275"/>
      <c r="BLI212" s="275"/>
      <c r="BLJ212" s="275"/>
      <c r="BLK212" s="275"/>
      <c r="BLL212" s="275"/>
      <c r="BLM212" s="275"/>
      <c r="BLN212" s="275"/>
      <c r="BLO212" s="275"/>
      <c r="BLP212" s="275"/>
      <c r="BLQ212" s="275"/>
      <c r="BLR212" s="275"/>
      <c r="BLS212" s="275"/>
      <c r="BLT212" s="275"/>
      <c r="BLU212" s="275"/>
      <c r="BLV212" s="275"/>
      <c r="BLW212" s="275"/>
      <c r="BLX212" s="275"/>
      <c r="BLY212" s="275"/>
      <c r="BLZ212" s="275"/>
      <c r="BMA212" s="275"/>
      <c r="BMB212" s="275"/>
      <c r="BMC212" s="275"/>
      <c r="BMD212" s="275"/>
      <c r="BME212" s="275"/>
      <c r="BMF212" s="275"/>
      <c r="BMG212" s="275"/>
      <c r="BMH212" s="275"/>
      <c r="BMI212" s="275"/>
      <c r="BMJ212" s="275"/>
      <c r="BMK212" s="275"/>
      <c r="BML212" s="275"/>
      <c r="BMM212" s="275"/>
      <c r="BMN212" s="275"/>
      <c r="BMO212" s="275"/>
      <c r="BMP212" s="275"/>
      <c r="BMQ212" s="275"/>
      <c r="BMR212" s="275"/>
      <c r="BMS212" s="275"/>
      <c r="BMT212" s="275"/>
      <c r="BMU212" s="275"/>
      <c r="BMV212" s="275"/>
      <c r="BMW212" s="275"/>
      <c r="BMX212" s="275"/>
      <c r="BMY212" s="275"/>
      <c r="BMZ212" s="275"/>
      <c r="BNA212" s="275"/>
      <c r="BNB212" s="275"/>
      <c r="BNC212" s="275"/>
      <c r="BND212" s="275"/>
      <c r="BNE212" s="275"/>
      <c r="BNF212" s="275"/>
      <c r="BNG212" s="275"/>
      <c r="BNH212" s="275"/>
      <c r="BNI212" s="275"/>
      <c r="BNJ212" s="275"/>
      <c r="BNK212" s="275"/>
      <c r="BNL212" s="275"/>
      <c r="BNM212" s="275"/>
      <c r="BNN212" s="275"/>
      <c r="BNO212" s="275"/>
      <c r="BNP212" s="275"/>
      <c r="BNQ212" s="275"/>
      <c r="BNR212" s="275"/>
      <c r="BNS212" s="275"/>
      <c r="BNT212" s="275"/>
      <c r="BNU212" s="275"/>
      <c r="BNV212" s="275"/>
      <c r="BNW212" s="275"/>
      <c r="BNX212" s="275"/>
      <c r="BNY212" s="275"/>
      <c r="BNZ212" s="275"/>
      <c r="BOA212" s="275"/>
      <c r="BOB212" s="275"/>
      <c r="BOC212" s="275"/>
      <c r="BOD212" s="275"/>
      <c r="BOE212" s="275"/>
      <c r="BOF212" s="275"/>
      <c r="BOG212" s="275"/>
      <c r="BOH212" s="275"/>
      <c r="BOI212" s="275"/>
      <c r="BOJ212" s="275"/>
      <c r="BOK212" s="275"/>
      <c r="BOL212" s="275"/>
      <c r="BOM212" s="275"/>
      <c r="BON212" s="275"/>
      <c r="BOO212" s="275"/>
      <c r="BOP212" s="275"/>
      <c r="BOQ212" s="275"/>
      <c r="BOR212" s="275"/>
      <c r="BOS212" s="275"/>
      <c r="BOT212" s="275"/>
      <c r="BOU212" s="275"/>
      <c r="BOV212" s="275"/>
      <c r="BOW212" s="275"/>
      <c r="BOX212" s="275"/>
      <c r="BOY212" s="275"/>
      <c r="BOZ212" s="275"/>
      <c r="BPA212" s="275"/>
      <c r="BPB212" s="275"/>
      <c r="BPC212" s="275"/>
      <c r="BPD212" s="275"/>
      <c r="BPE212" s="275"/>
      <c r="BPF212" s="275"/>
      <c r="BPG212" s="275"/>
      <c r="BPH212" s="275"/>
      <c r="BPI212" s="275"/>
      <c r="BPJ212" s="275"/>
      <c r="BPK212" s="275"/>
      <c r="BPL212" s="275"/>
      <c r="BPM212" s="275"/>
      <c r="BPN212" s="275"/>
      <c r="BPO212" s="275"/>
      <c r="BPP212" s="275"/>
      <c r="BPQ212" s="275"/>
      <c r="BPR212" s="275"/>
      <c r="BPS212" s="275"/>
      <c r="BPT212" s="275"/>
      <c r="BPU212" s="275"/>
      <c r="BPV212" s="275"/>
      <c r="BPW212" s="275"/>
      <c r="BPX212" s="275"/>
      <c r="BPY212" s="275"/>
      <c r="BPZ212" s="275"/>
      <c r="BQA212" s="275"/>
      <c r="BQB212" s="275"/>
      <c r="BQC212" s="275"/>
      <c r="BQD212" s="275"/>
      <c r="BQE212" s="275"/>
      <c r="BQF212" s="275"/>
      <c r="BQG212" s="275"/>
      <c r="BQH212" s="275"/>
      <c r="BQI212" s="275"/>
      <c r="BQJ212" s="275"/>
      <c r="BQK212" s="275"/>
      <c r="BQL212" s="275"/>
      <c r="BQM212" s="275"/>
      <c r="BQN212" s="275"/>
      <c r="BQO212" s="275"/>
      <c r="BQP212" s="275"/>
      <c r="BQQ212" s="275"/>
      <c r="BQR212" s="275"/>
      <c r="BQS212" s="275"/>
      <c r="BQT212" s="275"/>
      <c r="BQU212" s="275"/>
      <c r="BQV212" s="275"/>
      <c r="BQW212" s="275"/>
      <c r="BQX212" s="275"/>
      <c r="BQY212" s="275"/>
      <c r="BQZ212" s="275"/>
      <c r="BRA212" s="275"/>
      <c r="BRB212" s="275"/>
      <c r="BRC212" s="275"/>
      <c r="BRD212" s="275"/>
      <c r="BRE212" s="275"/>
      <c r="BRF212" s="275"/>
      <c r="BRG212" s="275"/>
      <c r="BRH212" s="275"/>
      <c r="BRI212" s="275"/>
      <c r="BRJ212" s="275"/>
      <c r="BRK212" s="275"/>
      <c r="BRL212" s="275"/>
      <c r="BRM212" s="275"/>
      <c r="BRN212" s="275"/>
      <c r="BRO212" s="275"/>
      <c r="BRP212" s="275"/>
      <c r="BRQ212" s="275"/>
      <c r="BRR212" s="275"/>
      <c r="BRS212" s="275"/>
      <c r="BRT212" s="275"/>
      <c r="BRU212" s="275"/>
      <c r="BRV212" s="275"/>
      <c r="BRW212" s="275"/>
      <c r="BRX212" s="275"/>
      <c r="BRY212" s="275"/>
      <c r="BRZ212" s="275"/>
      <c r="BSA212" s="275"/>
      <c r="BSB212" s="275"/>
      <c r="BSC212" s="275"/>
      <c r="BSD212" s="275"/>
      <c r="BSE212" s="275"/>
      <c r="BSF212" s="275"/>
      <c r="BSG212" s="275"/>
      <c r="BSH212" s="275"/>
      <c r="BSI212" s="275"/>
      <c r="BSJ212" s="275"/>
      <c r="BSK212" s="275"/>
      <c r="BSL212" s="275"/>
      <c r="BSM212" s="275"/>
      <c r="BSN212" s="275"/>
      <c r="BSO212" s="275"/>
      <c r="BSP212" s="275"/>
      <c r="BSQ212" s="275"/>
      <c r="BSR212" s="275"/>
      <c r="BSS212" s="275"/>
      <c r="BST212" s="275"/>
      <c r="BSU212" s="275"/>
      <c r="BSV212" s="275"/>
      <c r="BSW212" s="275"/>
      <c r="BSX212" s="275"/>
      <c r="BSY212" s="275"/>
      <c r="BSZ212" s="275"/>
      <c r="BTA212" s="275"/>
      <c r="BTB212" s="275"/>
      <c r="BTC212" s="275"/>
      <c r="BTD212" s="275"/>
      <c r="BTE212" s="275"/>
      <c r="BTF212" s="275"/>
      <c r="BTG212" s="275"/>
      <c r="BTH212" s="275"/>
      <c r="BTI212" s="275"/>
      <c r="BTJ212" s="275"/>
      <c r="BTK212" s="275"/>
      <c r="BTL212" s="275"/>
      <c r="BTM212" s="275"/>
      <c r="BTN212" s="275"/>
      <c r="BTO212" s="275"/>
      <c r="BTP212" s="275"/>
      <c r="BTQ212" s="275"/>
      <c r="BTR212" s="275"/>
      <c r="BTS212" s="275"/>
      <c r="BTT212" s="275"/>
      <c r="BTU212" s="275"/>
      <c r="BTV212" s="275"/>
      <c r="BTW212" s="275"/>
      <c r="BTX212" s="275"/>
      <c r="BTY212" s="275"/>
      <c r="BTZ212" s="275"/>
      <c r="BUA212" s="275"/>
      <c r="BUB212" s="275"/>
      <c r="BUC212" s="275"/>
      <c r="BUD212" s="275"/>
      <c r="BUE212" s="275"/>
      <c r="BUF212" s="275"/>
      <c r="BUG212" s="275"/>
      <c r="BUH212" s="275"/>
      <c r="BUI212" s="275"/>
      <c r="BUJ212" s="275"/>
      <c r="BUK212" s="275"/>
      <c r="BUL212" s="275"/>
      <c r="BUM212" s="275"/>
      <c r="BUN212" s="275"/>
      <c r="BUO212" s="275"/>
      <c r="BUP212" s="275"/>
      <c r="BUQ212" s="275"/>
      <c r="BUR212" s="275"/>
      <c r="BUS212" s="275"/>
      <c r="BUT212" s="275"/>
      <c r="BUU212" s="275"/>
      <c r="BUV212" s="275"/>
      <c r="BUW212" s="275"/>
      <c r="BUX212" s="275"/>
      <c r="BUY212" s="275"/>
      <c r="BUZ212" s="275"/>
      <c r="BVA212" s="275"/>
      <c r="BVB212" s="275"/>
      <c r="BVC212" s="275"/>
      <c r="BVD212" s="275"/>
      <c r="BVE212" s="275"/>
      <c r="BVF212" s="275"/>
      <c r="BVG212" s="275"/>
      <c r="BVH212" s="275"/>
      <c r="BVI212" s="275"/>
      <c r="BVJ212" s="275"/>
      <c r="BVK212" s="275"/>
      <c r="BVL212" s="275"/>
      <c r="BVM212" s="275"/>
      <c r="BVN212" s="275"/>
      <c r="BVO212" s="275"/>
      <c r="BVP212" s="275"/>
      <c r="BVQ212" s="275"/>
      <c r="BVR212" s="275"/>
      <c r="BVS212" s="275"/>
      <c r="BVT212" s="275"/>
      <c r="BVU212" s="275"/>
      <c r="BVV212" s="275"/>
      <c r="BVW212" s="275"/>
      <c r="BVX212" s="275"/>
      <c r="BVY212" s="275"/>
      <c r="BVZ212" s="275"/>
      <c r="BWA212" s="275"/>
      <c r="BWB212" s="275"/>
      <c r="BWC212" s="275"/>
      <c r="BWD212" s="275"/>
      <c r="BWE212" s="275"/>
      <c r="BWF212" s="275"/>
      <c r="BWG212" s="275"/>
      <c r="BWH212" s="275"/>
      <c r="BWI212" s="275"/>
      <c r="BWJ212" s="275"/>
      <c r="BWK212" s="275"/>
      <c r="BWL212" s="275"/>
      <c r="BWM212" s="275"/>
      <c r="BWN212" s="275"/>
      <c r="BWO212" s="275"/>
      <c r="BWP212" s="275"/>
      <c r="BWQ212" s="275"/>
      <c r="BWR212" s="275"/>
      <c r="BWS212" s="275"/>
      <c r="BWT212" s="275"/>
      <c r="BWU212" s="275"/>
      <c r="BWV212" s="275"/>
      <c r="BWW212" s="275"/>
      <c r="BWX212" s="275"/>
      <c r="BWY212" s="275"/>
      <c r="BWZ212" s="275"/>
      <c r="BXA212" s="275"/>
      <c r="BXB212" s="275"/>
      <c r="BXC212" s="275"/>
      <c r="BXD212" s="275"/>
      <c r="BXE212" s="275"/>
      <c r="BXF212" s="275"/>
      <c r="BXG212" s="275"/>
      <c r="BXH212" s="275"/>
      <c r="BXI212" s="275"/>
      <c r="BXJ212" s="275"/>
      <c r="BXK212" s="275"/>
      <c r="BXL212" s="275"/>
      <c r="BXM212" s="275"/>
      <c r="BXN212" s="275"/>
      <c r="BXO212" s="275"/>
      <c r="BXP212" s="275"/>
      <c r="BXQ212" s="275"/>
      <c r="BXR212" s="275"/>
      <c r="BXS212" s="275"/>
      <c r="BXT212" s="275"/>
      <c r="BXU212" s="275"/>
      <c r="BXV212" s="275"/>
      <c r="BXW212" s="275"/>
      <c r="BXX212" s="275"/>
      <c r="BXY212" s="275"/>
      <c r="BXZ212" s="275"/>
      <c r="BYA212" s="275"/>
      <c r="BYB212" s="275"/>
      <c r="BYC212" s="275"/>
      <c r="BYD212" s="275"/>
      <c r="BYE212" s="275"/>
      <c r="BYF212" s="275"/>
      <c r="BYG212" s="275"/>
      <c r="BYH212" s="275"/>
      <c r="BYI212" s="275"/>
      <c r="BYJ212" s="275"/>
      <c r="BYK212" s="275"/>
      <c r="BYL212" s="275"/>
      <c r="BYM212" s="275"/>
      <c r="BYN212" s="275"/>
      <c r="BYO212" s="275"/>
      <c r="BYP212" s="275"/>
      <c r="BYQ212" s="275"/>
      <c r="BYR212" s="275"/>
      <c r="BYS212" s="275"/>
      <c r="BYT212" s="275"/>
      <c r="BYU212" s="275"/>
      <c r="BYV212" s="275"/>
      <c r="BYW212" s="275"/>
      <c r="BYX212" s="275"/>
      <c r="BYY212" s="275"/>
      <c r="BYZ212" s="275"/>
      <c r="BZA212" s="275"/>
      <c r="BZB212" s="275"/>
      <c r="BZC212" s="275"/>
      <c r="BZD212" s="275"/>
      <c r="BZE212" s="275"/>
      <c r="BZF212" s="275"/>
      <c r="BZG212" s="275"/>
      <c r="BZH212" s="275"/>
      <c r="BZI212" s="275"/>
      <c r="BZJ212" s="275"/>
      <c r="BZK212" s="275"/>
      <c r="BZL212" s="275"/>
      <c r="BZM212" s="275"/>
      <c r="BZN212" s="275"/>
      <c r="BZO212" s="275"/>
      <c r="BZP212" s="275"/>
      <c r="BZQ212" s="275"/>
      <c r="BZR212" s="275"/>
      <c r="BZS212" s="275"/>
      <c r="BZT212" s="275"/>
      <c r="BZU212" s="275"/>
      <c r="BZV212" s="275"/>
      <c r="BZW212" s="275"/>
      <c r="BZX212" s="275"/>
      <c r="BZY212" s="275"/>
      <c r="BZZ212" s="275"/>
      <c r="CAA212" s="275"/>
      <c r="CAB212" s="275"/>
      <c r="CAC212" s="275"/>
      <c r="CAD212" s="275"/>
      <c r="CAE212" s="275"/>
      <c r="CAF212" s="275"/>
      <c r="CAG212" s="275"/>
      <c r="CAH212" s="275"/>
      <c r="CAI212" s="275"/>
      <c r="CAJ212" s="275"/>
      <c r="CAK212" s="275"/>
      <c r="CAL212" s="275"/>
      <c r="CAM212" s="275"/>
      <c r="CAN212" s="275"/>
      <c r="CAO212" s="275"/>
      <c r="CAP212" s="275"/>
      <c r="CAQ212" s="275"/>
      <c r="CAR212" s="275"/>
      <c r="CAS212" s="275"/>
      <c r="CAT212" s="275"/>
      <c r="CAU212" s="275"/>
      <c r="CAV212" s="275"/>
      <c r="CAW212" s="275"/>
      <c r="CAX212" s="275"/>
      <c r="CAY212" s="275"/>
      <c r="CAZ212" s="275"/>
      <c r="CBA212" s="275"/>
      <c r="CBB212" s="275"/>
      <c r="CBC212" s="275"/>
      <c r="CBD212" s="275"/>
      <c r="CBE212" s="275"/>
      <c r="CBF212" s="275"/>
      <c r="CBG212" s="275"/>
      <c r="CBH212" s="275"/>
      <c r="CBI212" s="275"/>
      <c r="CBJ212" s="275"/>
      <c r="CBK212" s="275"/>
      <c r="CBL212" s="275"/>
      <c r="CBM212" s="275"/>
      <c r="CBN212" s="275"/>
      <c r="CBO212" s="275"/>
      <c r="CBP212" s="275"/>
      <c r="CBQ212" s="275"/>
      <c r="CBR212" s="275"/>
      <c r="CBS212" s="275"/>
      <c r="CBT212" s="275"/>
      <c r="CBU212" s="275"/>
      <c r="CBV212" s="275"/>
      <c r="CBW212" s="275"/>
      <c r="CBX212" s="275"/>
      <c r="CBY212" s="275"/>
      <c r="CBZ212" s="275"/>
      <c r="CCA212" s="275"/>
      <c r="CCB212" s="275"/>
      <c r="CCC212" s="275"/>
      <c r="CCD212" s="275"/>
      <c r="CCE212" s="275"/>
      <c r="CCF212" s="275"/>
      <c r="CCG212" s="275"/>
      <c r="CCH212" s="275"/>
      <c r="CCI212" s="275"/>
      <c r="CCJ212" s="275"/>
      <c r="CCK212" s="275"/>
      <c r="CCL212" s="275"/>
      <c r="CCM212" s="275"/>
      <c r="CCN212" s="275"/>
      <c r="CCO212" s="275"/>
      <c r="CCP212" s="275"/>
      <c r="CCQ212" s="275"/>
      <c r="CCR212" s="275"/>
      <c r="CCS212" s="275"/>
      <c r="CCT212" s="275"/>
      <c r="CCU212" s="275"/>
      <c r="CCV212" s="275"/>
      <c r="CCW212" s="275"/>
      <c r="CCX212" s="275"/>
      <c r="CCY212" s="275"/>
      <c r="CCZ212" s="275"/>
      <c r="CDA212" s="275"/>
      <c r="CDB212" s="275"/>
      <c r="CDC212" s="275"/>
      <c r="CDD212" s="275"/>
      <c r="CDE212" s="275"/>
      <c r="CDF212" s="275"/>
      <c r="CDG212" s="275"/>
      <c r="CDH212" s="275"/>
      <c r="CDI212" s="275"/>
      <c r="CDJ212" s="275"/>
      <c r="CDK212" s="275"/>
      <c r="CDL212" s="275"/>
      <c r="CDM212" s="275"/>
      <c r="CDN212" s="275"/>
      <c r="CDO212" s="275"/>
      <c r="CDP212" s="275"/>
      <c r="CDQ212" s="275"/>
      <c r="CDR212" s="275"/>
      <c r="CDS212" s="275"/>
      <c r="CDT212" s="275"/>
      <c r="CDU212" s="275"/>
      <c r="CDV212" s="275"/>
      <c r="CDW212" s="275"/>
      <c r="CDX212" s="275"/>
      <c r="CDY212" s="275"/>
      <c r="CDZ212" s="275"/>
      <c r="CEA212" s="275"/>
      <c r="CEB212" s="275"/>
      <c r="CEC212" s="275"/>
      <c r="CED212" s="275"/>
      <c r="CEE212" s="275"/>
      <c r="CEF212" s="275"/>
      <c r="CEG212" s="275"/>
      <c r="CEH212" s="275"/>
      <c r="CEI212" s="275"/>
      <c r="CEJ212" s="275"/>
      <c r="CEK212" s="275"/>
      <c r="CEL212" s="275"/>
      <c r="CEM212" s="275"/>
      <c r="CEN212" s="275"/>
      <c r="CEO212" s="275"/>
      <c r="CEP212" s="275"/>
      <c r="CEQ212" s="275"/>
      <c r="CER212" s="275"/>
      <c r="CES212" s="275"/>
      <c r="CET212" s="275"/>
      <c r="CEU212" s="275"/>
      <c r="CEV212" s="275"/>
      <c r="CEW212" s="275"/>
      <c r="CEX212" s="275"/>
      <c r="CEY212" s="275"/>
      <c r="CEZ212" s="275"/>
      <c r="CFA212" s="275"/>
      <c r="CFB212" s="275"/>
      <c r="CFC212" s="275"/>
      <c r="CFD212" s="275"/>
      <c r="CFE212" s="275"/>
      <c r="CFF212" s="275"/>
      <c r="CFG212" s="275"/>
      <c r="CFH212" s="275"/>
      <c r="CFI212" s="275"/>
      <c r="CFJ212" s="275"/>
      <c r="CFK212" s="275"/>
      <c r="CFL212" s="275"/>
      <c r="CFM212" s="275"/>
      <c r="CFN212" s="275"/>
      <c r="CFO212" s="275"/>
      <c r="CFP212" s="275"/>
      <c r="CFQ212" s="275"/>
      <c r="CFR212" s="275"/>
      <c r="CFS212" s="275"/>
      <c r="CFT212" s="275"/>
      <c r="CFU212" s="275"/>
      <c r="CFV212" s="275"/>
      <c r="CFW212" s="275"/>
      <c r="CFX212" s="275"/>
      <c r="CFY212" s="275"/>
      <c r="CFZ212" s="275"/>
      <c r="CGA212" s="275"/>
      <c r="CGB212" s="275"/>
      <c r="CGC212" s="275"/>
      <c r="CGD212" s="275"/>
      <c r="CGE212" s="275"/>
      <c r="CGF212" s="275"/>
      <c r="CGG212" s="275"/>
      <c r="CGH212" s="275"/>
      <c r="CGI212" s="275"/>
      <c r="CGJ212" s="275"/>
      <c r="CGK212" s="275"/>
      <c r="CGL212" s="275"/>
      <c r="CGM212" s="275"/>
      <c r="CGN212" s="275"/>
      <c r="CGO212" s="275"/>
      <c r="CGP212" s="275"/>
      <c r="CGQ212" s="275"/>
      <c r="CGR212" s="275"/>
      <c r="CGS212" s="275"/>
      <c r="CGT212" s="275"/>
      <c r="CGU212" s="275"/>
      <c r="CGV212" s="275"/>
      <c r="CGW212" s="275"/>
      <c r="CGX212" s="275"/>
      <c r="CGY212" s="275"/>
      <c r="CGZ212" s="275"/>
      <c r="CHA212" s="275"/>
      <c r="CHB212" s="275"/>
      <c r="CHC212" s="275"/>
      <c r="CHD212" s="275"/>
      <c r="CHE212" s="275"/>
      <c r="CHF212" s="275"/>
      <c r="CHG212" s="275"/>
      <c r="CHH212" s="275"/>
      <c r="CHI212" s="275"/>
      <c r="CHJ212" s="275"/>
      <c r="CHK212" s="275"/>
      <c r="CHL212" s="275"/>
      <c r="CHM212" s="275"/>
      <c r="CHN212" s="275"/>
      <c r="CHO212" s="275"/>
      <c r="CHP212" s="275"/>
      <c r="CHQ212" s="275"/>
      <c r="CHR212" s="275"/>
      <c r="CHS212" s="275"/>
      <c r="CHT212" s="275"/>
      <c r="CHU212" s="275"/>
      <c r="CHV212" s="275"/>
      <c r="CHW212" s="275"/>
      <c r="CHX212" s="275"/>
      <c r="CHY212" s="275"/>
      <c r="CHZ212" s="275"/>
      <c r="CIA212" s="275"/>
      <c r="CIB212" s="275"/>
      <c r="CIC212" s="275"/>
      <c r="CID212" s="275"/>
      <c r="CIE212" s="275"/>
      <c r="CIF212" s="275"/>
      <c r="CIG212" s="275"/>
      <c r="CIH212" s="275"/>
      <c r="CII212" s="275"/>
      <c r="CIJ212" s="275"/>
      <c r="CIK212" s="275"/>
      <c r="CIL212" s="275"/>
      <c r="CIM212" s="275"/>
      <c r="CIN212" s="275"/>
      <c r="CIO212" s="275"/>
      <c r="CIP212" s="275"/>
      <c r="CIQ212" s="275"/>
      <c r="CIR212" s="275"/>
      <c r="CIS212" s="275"/>
      <c r="CIT212" s="275"/>
      <c r="CIU212" s="275"/>
      <c r="CIV212" s="275"/>
      <c r="CIW212" s="275"/>
      <c r="CIX212" s="275"/>
      <c r="CIY212" s="275"/>
      <c r="CIZ212" s="275"/>
      <c r="CJA212" s="275"/>
      <c r="CJB212" s="275"/>
      <c r="CJC212" s="275"/>
      <c r="CJD212" s="275"/>
      <c r="CJE212" s="275"/>
      <c r="CJF212" s="275"/>
      <c r="CJG212" s="275"/>
      <c r="CJH212" s="275"/>
      <c r="CJI212" s="275"/>
      <c r="CJJ212" s="275"/>
      <c r="CJK212" s="275"/>
      <c r="CJL212" s="275"/>
      <c r="CJM212" s="275"/>
      <c r="CJN212" s="275"/>
      <c r="CJO212" s="275"/>
      <c r="CJP212" s="275"/>
      <c r="CJQ212" s="275"/>
      <c r="CJR212" s="275"/>
      <c r="CJS212" s="275"/>
      <c r="CJT212" s="275"/>
      <c r="CJU212" s="275"/>
      <c r="CJV212" s="275"/>
      <c r="CJW212" s="275"/>
      <c r="CJX212" s="275"/>
      <c r="CJY212" s="275"/>
      <c r="CJZ212" s="275"/>
      <c r="CKA212" s="275"/>
      <c r="CKB212" s="275"/>
      <c r="CKC212" s="275"/>
      <c r="CKD212" s="275"/>
      <c r="CKE212" s="275"/>
      <c r="CKF212" s="275"/>
      <c r="CKG212" s="275"/>
      <c r="CKH212" s="275"/>
      <c r="CKI212" s="275"/>
      <c r="CKJ212" s="275"/>
      <c r="CKK212" s="275"/>
      <c r="CKL212" s="275"/>
      <c r="CKM212" s="275"/>
      <c r="CKN212" s="275"/>
      <c r="CKO212" s="275"/>
      <c r="CKP212" s="275"/>
      <c r="CKQ212" s="275"/>
      <c r="CKR212" s="275"/>
      <c r="CKS212" s="275"/>
      <c r="CKT212" s="275"/>
      <c r="CKU212" s="275"/>
      <c r="CKV212" s="275"/>
      <c r="CKW212" s="275"/>
      <c r="CKX212" s="275"/>
      <c r="CKY212" s="275"/>
      <c r="CKZ212" s="275"/>
      <c r="CLA212" s="275"/>
      <c r="CLB212" s="275"/>
      <c r="CLC212" s="275"/>
      <c r="CLD212" s="275"/>
      <c r="CLE212" s="275"/>
      <c r="CLF212" s="275"/>
      <c r="CLG212" s="275"/>
      <c r="CLH212" s="275"/>
      <c r="CLI212" s="275"/>
      <c r="CLJ212" s="275"/>
      <c r="CLK212" s="275"/>
      <c r="CLL212" s="275"/>
      <c r="CLM212" s="275"/>
      <c r="CLN212" s="275"/>
      <c r="CLO212" s="275"/>
      <c r="CLP212" s="275"/>
      <c r="CLQ212" s="275"/>
      <c r="CLR212" s="275"/>
      <c r="CLS212" s="275"/>
      <c r="CLT212" s="275"/>
      <c r="CLU212" s="275"/>
      <c r="CLV212" s="275"/>
      <c r="CLW212" s="275"/>
      <c r="CLX212" s="275"/>
      <c r="CLY212" s="275"/>
      <c r="CLZ212" s="275"/>
      <c r="CMA212" s="275"/>
      <c r="CMB212" s="275"/>
      <c r="CMC212" s="275"/>
      <c r="CMD212" s="275"/>
      <c r="CME212" s="275"/>
      <c r="CMF212" s="275"/>
      <c r="CMG212" s="275"/>
      <c r="CMH212" s="275"/>
      <c r="CMI212" s="275"/>
      <c r="CMJ212" s="275"/>
      <c r="CMK212" s="275"/>
      <c r="CML212" s="275"/>
      <c r="CMM212" s="275"/>
      <c r="CMN212" s="275"/>
      <c r="CMO212" s="275"/>
      <c r="CMP212" s="275"/>
      <c r="CMQ212" s="275"/>
      <c r="CMR212" s="275"/>
      <c r="CMS212" s="275"/>
      <c r="CMT212" s="275"/>
      <c r="CMU212" s="275"/>
      <c r="CMV212" s="275"/>
      <c r="CMW212" s="275"/>
      <c r="CMX212" s="275"/>
      <c r="CMY212" s="275"/>
      <c r="CMZ212" s="275"/>
      <c r="CNA212" s="275"/>
      <c r="CNB212" s="275"/>
      <c r="CNC212" s="275"/>
      <c r="CND212" s="275"/>
      <c r="CNE212" s="275"/>
      <c r="CNF212" s="275"/>
      <c r="CNG212" s="275"/>
      <c r="CNH212" s="275"/>
      <c r="CNI212" s="275"/>
      <c r="CNJ212" s="275"/>
      <c r="CNK212" s="275"/>
      <c r="CNL212" s="275"/>
      <c r="CNM212" s="275"/>
      <c r="CNN212" s="275"/>
      <c r="CNO212" s="275"/>
      <c r="CNP212" s="275"/>
      <c r="CNQ212" s="275"/>
      <c r="CNR212" s="275"/>
      <c r="CNS212" s="275"/>
      <c r="CNT212" s="275"/>
      <c r="CNU212" s="275"/>
      <c r="CNV212" s="275"/>
      <c r="CNW212" s="275"/>
      <c r="CNX212" s="275"/>
      <c r="CNY212" s="275"/>
      <c r="CNZ212" s="275"/>
      <c r="COA212" s="275"/>
      <c r="COB212" s="275"/>
      <c r="COC212" s="275"/>
      <c r="COD212" s="275"/>
      <c r="COE212" s="275"/>
      <c r="COF212" s="275"/>
      <c r="COG212" s="275"/>
      <c r="COH212" s="275"/>
      <c r="COI212" s="275"/>
      <c r="COJ212" s="275"/>
      <c r="COK212" s="275"/>
      <c r="COL212" s="275"/>
      <c r="COM212" s="275"/>
      <c r="CON212" s="275"/>
      <c r="COO212" s="275"/>
      <c r="COP212" s="275"/>
      <c r="COQ212" s="275"/>
      <c r="COR212" s="275"/>
      <c r="COS212" s="275"/>
      <c r="COT212" s="275"/>
      <c r="COU212" s="275"/>
      <c r="COV212" s="275"/>
      <c r="COW212" s="275"/>
      <c r="COX212" s="275"/>
      <c r="COY212" s="275"/>
      <c r="COZ212" s="275"/>
      <c r="CPA212" s="275"/>
      <c r="CPB212" s="275"/>
      <c r="CPC212" s="275"/>
      <c r="CPD212" s="275"/>
      <c r="CPE212" s="275"/>
      <c r="CPF212" s="275"/>
      <c r="CPG212" s="275"/>
      <c r="CPH212" s="275"/>
      <c r="CPI212" s="275"/>
      <c r="CPJ212" s="275"/>
      <c r="CPK212" s="275"/>
      <c r="CPL212" s="275"/>
      <c r="CPM212" s="275"/>
      <c r="CPN212" s="275"/>
      <c r="CPO212" s="275"/>
      <c r="CPP212" s="275"/>
      <c r="CPQ212" s="275"/>
      <c r="CPR212" s="275"/>
      <c r="CPS212" s="275"/>
      <c r="CPT212" s="275"/>
      <c r="CPU212" s="275"/>
      <c r="CPV212" s="275"/>
      <c r="CPW212" s="275"/>
      <c r="CPX212" s="275"/>
      <c r="CPY212" s="275"/>
      <c r="CPZ212" s="275"/>
      <c r="CQA212" s="275"/>
      <c r="CQB212" s="275"/>
      <c r="CQC212" s="275"/>
      <c r="CQD212" s="275"/>
      <c r="CQE212" s="275"/>
      <c r="CQF212" s="275"/>
      <c r="CQG212" s="275"/>
      <c r="CQH212" s="275"/>
      <c r="CQI212" s="275"/>
      <c r="CQJ212" s="275"/>
      <c r="CQK212" s="275"/>
      <c r="CQL212" s="275"/>
      <c r="CQM212" s="275"/>
      <c r="CQN212" s="275"/>
      <c r="CQO212" s="275"/>
      <c r="CQP212" s="275"/>
      <c r="CQQ212" s="275"/>
      <c r="CQR212" s="275"/>
      <c r="CQS212" s="275"/>
      <c r="CQT212" s="275"/>
      <c r="CQU212" s="275"/>
      <c r="CQV212" s="275"/>
      <c r="CQW212" s="275"/>
      <c r="CQX212" s="275"/>
      <c r="CQY212" s="275"/>
      <c r="CQZ212" s="275"/>
      <c r="CRA212" s="275"/>
      <c r="CRB212" s="275"/>
      <c r="CRC212" s="275"/>
      <c r="CRD212" s="275"/>
      <c r="CRE212" s="275"/>
      <c r="CRF212" s="275"/>
      <c r="CRG212" s="275"/>
      <c r="CRH212" s="275"/>
      <c r="CRI212" s="275"/>
      <c r="CRJ212" s="275"/>
      <c r="CRK212" s="275"/>
      <c r="CRL212" s="275"/>
      <c r="CRM212" s="275"/>
      <c r="CRN212" s="275"/>
      <c r="CRO212" s="275"/>
      <c r="CRP212" s="275"/>
      <c r="CRQ212" s="275"/>
      <c r="CRR212" s="275"/>
      <c r="CRS212" s="275"/>
      <c r="CRT212" s="275"/>
      <c r="CRU212" s="275"/>
      <c r="CRV212" s="275"/>
      <c r="CRW212" s="275"/>
      <c r="CRX212" s="275"/>
      <c r="CRY212" s="275"/>
      <c r="CRZ212" s="275"/>
      <c r="CSA212" s="275"/>
      <c r="CSB212" s="275"/>
      <c r="CSC212" s="275"/>
      <c r="CSD212" s="275"/>
      <c r="CSE212" s="275"/>
      <c r="CSF212" s="275"/>
      <c r="CSG212" s="275"/>
      <c r="CSH212" s="275"/>
      <c r="CSI212" s="275"/>
      <c r="CSJ212" s="275"/>
      <c r="CSK212" s="275"/>
      <c r="CSL212" s="275"/>
      <c r="CSM212" s="275"/>
      <c r="CSN212" s="275"/>
      <c r="CSO212" s="275"/>
      <c r="CSP212" s="275"/>
      <c r="CSQ212" s="275"/>
      <c r="CSR212" s="275"/>
      <c r="CSS212" s="275"/>
      <c r="CST212" s="275"/>
      <c r="CSU212" s="275"/>
      <c r="CSV212" s="275"/>
      <c r="CSW212" s="275"/>
      <c r="CSX212" s="275"/>
      <c r="CSY212" s="275"/>
      <c r="CSZ212" s="275"/>
      <c r="CTA212" s="275"/>
      <c r="CTB212" s="275"/>
      <c r="CTC212" s="275"/>
      <c r="CTD212" s="275"/>
      <c r="CTE212" s="275"/>
      <c r="CTF212" s="275"/>
      <c r="CTG212" s="275"/>
      <c r="CTH212" s="275"/>
      <c r="CTI212" s="275"/>
      <c r="CTJ212" s="275"/>
      <c r="CTK212" s="275"/>
      <c r="CTL212" s="275"/>
      <c r="CTM212" s="275"/>
      <c r="CTN212" s="275"/>
      <c r="CTO212" s="275"/>
      <c r="CTP212" s="275"/>
      <c r="CTQ212" s="275"/>
      <c r="CTR212" s="275"/>
      <c r="CTS212" s="275"/>
      <c r="CTT212" s="275"/>
      <c r="CTU212" s="275"/>
      <c r="CTV212" s="275"/>
      <c r="CTW212" s="275"/>
      <c r="CTX212" s="275"/>
      <c r="CTY212" s="275"/>
      <c r="CTZ212" s="275"/>
      <c r="CUA212" s="275"/>
      <c r="CUB212" s="275"/>
      <c r="CUC212" s="275"/>
      <c r="CUD212" s="275"/>
      <c r="CUE212" s="275"/>
      <c r="CUF212" s="275"/>
      <c r="CUG212" s="275"/>
      <c r="CUH212" s="275"/>
      <c r="CUI212" s="275"/>
      <c r="CUJ212" s="275"/>
      <c r="CUK212" s="275"/>
      <c r="CUL212" s="275"/>
      <c r="CUM212" s="275"/>
      <c r="CUN212" s="275"/>
      <c r="CUO212" s="275"/>
      <c r="CUP212" s="275"/>
      <c r="CUQ212" s="275"/>
      <c r="CUR212" s="275"/>
      <c r="CUS212" s="275"/>
      <c r="CUT212" s="275"/>
      <c r="CUU212" s="275"/>
      <c r="CUV212" s="275"/>
      <c r="CUW212" s="275"/>
      <c r="CUX212" s="275"/>
      <c r="CUY212" s="275"/>
      <c r="CUZ212" s="275"/>
      <c r="CVA212" s="275"/>
      <c r="CVB212" s="275"/>
      <c r="CVC212" s="275"/>
      <c r="CVD212" s="275"/>
      <c r="CVE212" s="275"/>
      <c r="CVF212" s="275"/>
      <c r="CVG212" s="275"/>
      <c r="CVH212" s="275"/>
      <c r="CVI212" s="275"/>
      <c r="CVJ212" s="275"/>
      <c r="CVK212" s="275"/>
      <c r="CVL212" s="275"/>
      <c r="CVM212" s="275"/>
      <c r="CVN212" s="275"/>
      <c r="CVO212" s="275"/>
      <c r="CVP212" s="275"/>
      <c r="CVQ212" s="275"/>
      <c r="CVR212" s="275"/>
      <c r="CVS212" s="275"/>
      <c r="CVT212" s="275"/>
      <c r="CVU212" s="275"/>
      <c r="CVV212" s="275"/>
      <c r="CVW212" s="275"/>
      <c r="CVX212" s="275"/>
      <c r="CVY212" s="275"/>
      <c r="CVZ212" s="275"/>
      <c r="CWA212" s="275"/>
      <c r="CWB212" s="275"/>
      <c r="CWC212" s="275"/>
      <c r="CWD212" s="275"/>
      <c r="CWE212" s="275"/>
      <c r="CWF212" s="275"/>
      <c r="CWG212" s="275"/>
      <c r="CWH212" s="275"/>
      <c r="CWI212" s="275"/>
      <c r="CWJ212" s="275"/>
      <c r="CWK212" s="275"/>
      <c r="CWL212" s="275"/>
      <c r="CWM212" s="275"/>
      <c r="CWN212" s="275"/>
      <c r="CWO212" s="275"/>
      <c r="CWP212" s="275"/>
      <c r="CWQ212" s="275"/>
      <c r="CWR212" s="275"/>
      <c r="CWS212" s="275"/>
      <c r="CWT212" s="275"/>
      <c r="CWU212" s="275"/>
      <c r="CWV212" s="275"/>
      <c r="CWW212" s="275"/>
      <c r="CWX212" s="275"/>
      <c r="CWY212" s="275"/>
      <c r="CWZ212" s="275"/>
      <c r="CXA212" s="275"/>
      <c r="CXB212" s="275"/>
      <c r="CXC212" s="275"/>
      <c r="CXD212" s="275"/>
      <c r="CXE212" s="275"/>
      <c r="CXF212" s="275"/>
      <c r="CXG212" s="275"/>
      <c r="CXH212" s="275"/>
      <c r="CXI212" s="275"/>
      <c r="CXJ212" s="275"/>
      <c r="CXK212" s="275"/>
      <c r="CXL212" s="275"/>
      <c r="CXM212" s="275"/>
      <c r="CXN212" s="275"/>
      <c r="CXO212" s="275"/>
      <c r="CXP212" s="275"/>
      <c r="CXQ212" s="275"/>
      <c r="CXR212" s="275"/>
      <c r="CXS212" s="275"/>
      <c r="CXT212" s="275"/>
      <c r="CXU212" s="275"/>
      <c r="CXV212" s="275"/>
      <c r="CXW212" s="275"/>
      <c r="CXX212" s="275"/>
      <c r="CXY212" s="275"/>
      <c r="CXZ212" s="275"/>
      <c r="CYA212" s="275"/>
      <c r="CYB212" s="275"/>
      <c r="CYC212" s="275"/>
      <c r="CYD212" s="275"/>
      <c r="CYE212" s="275"/>
      <c r="CYF212" s="275"/>
      <c r="CYG212" s="275"/>
      <c r="CYH212" s="275"/>
      <c r="CYI212" s="275"/>
      <c r="CYJ212" s="275"/>
      <c r="CYK212" s="275"/>
      <c r="CYL212" s="275"/>
      <c r="CYM212" s="275"/>
      <c r="CYN212" s="275"/>
      <c r="CYO212" s="275"/>
      <c r="CYP212" s="275"/>
      <c r="CYQ212" s="275"/>
      <c r="CYR212" s="275"/>
      <c r="CYS212" s="275"/>
      <c r="CYT212" s="275"/>
      <c r="CYU212" s="275"/>
      <c r="CYV212" s="275"/>
      <c r="CYW212" s="275"/>
      <c r="CYX212" s="275"/>
      <c r="CYY212" s="275"/>
      <c r="CYZ212" s="275"/>
      <c r="CZA212" s="275"/>
      <c r="CZB212" s="275"/>
      <c r="CZC212" s="275"/>
      <c r="CZD212" s="275"/>
      <c r="CZE212" s="275"/>
      <c r="CZF212" s="275"/>
      <c r="CZG212" s="275"/>
      <c r="CZH212" s="275"/>
      <c r="CZI212" s="275"/>
      <c r="CZJ212" s="275"/>
      <c r="CZK212" s="275"/>
      <c r="CZL212" s="275"/>
      <c r="CZM212" s="275"/>
      <c r="CZN212" s="275"/>
      <c r="CZO212" s="275"/>
      <c r="CZP212" s="275"/>
      <c r="CZQ212" s="275"/>
      <c r="CZR212" s="275"/>
      <c r="CZS212" s="275"/>
      <c r="CZT212" s="275"/>
      <c r="CZU212" s="275"/>
      <c r="CZV212" s="275"/>
      <c r="CZW212" s="275"/>
      <c r="CZX212" s="275"/>
      <c r="CZY212" s="275"/>
      <c r="CZZ212" s="275"/>
      <c r="DAA212" s="275"/>
      <c r="DAB212" s="275"/>
      <c r="DAC212" s="275"/>
      <c r="DAD212" s="275"/>
      <c r="DAE212" s="275"/>
      <c r="DAF212" s="275"/>
      <c r="DAG212" s="275"/>
      <c r="DAH212" s="275"/>
      <c r="DAI212" s="275"/>
      <c r="DAJ212" s="275"/>
      <c r="DAK212" s="275"/>
      <c r="DAL212" s="275"/>
      <c r="DAM212" s="275"/>
      <c r="DAN212" s="275"/>
      <c r="DAO212" s="275"/>
      <c r="DAP212" s="275"/>
      <c r="DAQ212" s="275"/>
      <c r="DAR212" s="275"/>
      <c r="DAS212" s="275"/>
      <c r="DAT212" s="275"/>
      <c r="DAU212" s="275"/>
      <c r="DAV212" s="275"/>
      <c r="DAW212" s="275"/>
      <c r="DAX212" s="275"/>
      <c r="DAY212" s="275"/>
      <c r="DAZ212" s="275"/>
      <c r="DBA212" s="275"/>
      <c r="DBB212" s="275"/>
      <c r="DBC212" s="275"/>
      <c r="DBD212" s="275"/>
      <c r="DBE212" s="275"/>
      <c r="DBF212" s="275"/>
      <c r="DBG212" s="275"/>
      <c r="DBH212" s="275"/>
      <c r="DBI212" s="275"/>
      <c r="DBJ212" s="275"/>
      <c r="DBK212" s="275"/>
      <c r="DBL212" s="275"/>
      <c r="DBM212" s="275"/>
      <c r="DBN212" s="275"/>
      <c r="DBO212" s="275"/>
      <c r="DBP212" s="275"/>
      <c r="DBQ212" s="275"/>
      <c r="DBR212" s="275"/>
      <c r="DBS212" s="275"/>
      <c r="DBT212" s="275"/>
      <c r="DBU212" s="275"/>
      <c r="DBV212" s="275"/>
      <c r="DBW212" s="275"/>
      <c r="DBX212" s="275"/>
      <c r="DBY212" s="275"/>
      <c r="DBZ212" s="275"/>
      <c r="DCA212" s="275"/>
      <c r="DCB212" s="275"/>
      <c r="DCC212" s="275"/>
      <c r="DCD212" s="275"/>
      <c r="DCE212" s="275"/>
      <c r="DCF212" s="275"/>
      <c r="DCG212" s="275"/>
      <c r="DCH212" s="275"/>
      <c r="DCI212" s="275"/>
      <c r="DCJ212" s="275"/>
      <c r="DCK212" s="275"/>
      <c r="DCL212" s="275"/>
      <c r="DCM212" s="275"/>
      <c r="DCN212" s="275"/>
      <c r="DCO212" s="275"/>
      <c r="DCP212" s="275"/>
      <c r="DCQ212" s="275"/>
      <c r="DCR212" s="275"/>
      <c r="DCS212" s="275"/>
      <c r="DCT212" s="275"/>
      <c r="DCU212" s="275"/>
      <c r="DCV212" s="275"/>
      <c r="DCW212" s="275"/>
      <c r="DCX212" s="275"/>
      <c r="DCY212" s="275"/>
      <c r="DCZ212" s="275"/>
      <c r="DDA212" s="275"/>
      <c r="DDB212" s="275"/>
      <c r="DDC212" s="275"/>
      <c r="DDD212" s="275"/>
      <c r="DDE212" s="275"/>
      <c r="DDF212" s="275"/>
      <c r="DDG212" s="275"/>
      <c r="DDH212" s="275"/>
      <c r="DDI212" s="275"/>
      <c r="DDJ212" s="275"/>
      <c r="DDK212" s="275"/>
      <c r="DDL212" s="275"/>
      <c r="DDM212" s="275"/>
      <c r="DDN212" s="275"/>
      <c r="DDO212" s="275"/>
      <c r="DDP212" s="275"/>
      <c r="DDQ212" s="275"/>
      <c r="DDR212" s="275"/>
      <c r="DDS212" s="275"/>
      <c r="DDT212" s="275"/>
      <c r="DDU212" s="275"/>
      <c r="DDV212" s="275"/>
      <c r="DDW212" s="275"/>
      <c r="DDX212" s="275"/>
      <c r="DDY212" s="275"/>
      <c r="DDZ212" s="275"/>
      <c r="DEA212" s="275"/>
      <c r="DEB212" s="275"/>
      <c r="DEC212" s="275"/>
      <c r="DED212" s="275"/>
      <c r="DEE212" s="275"/>
      <c r="DEF212" s="275"/>
      <c r="DEG212" s="275"/>
      <c r="DEH212" s="275"/>
      <c r="DEI212" s="275"/>
      <c r="DEJ212" s="275"/>
      <c r="DEK212" s="275"/>
      <c r="DEL212" s="275"/>
      <c r="DEM212" s="275"/>
      <c r="DEN212" s="275"/>
      <c r="DEO212" s="275"/>
      <c r="DEP212" s="275"/>
      <c r="DEQ212" s="275"/>
      <c r="DER212" s="275"/>
      <c r="DES212" s="275"/>
      <c r="DET212" s="275"/>
      <c r="DEU212" s="275"/>
      <c r="DEV212" s="275"/>
      <c r="DEW212" s="275"/>
      <c r="DEX212" s="275"/>
      <c r="DEY212" s="275"/>
      <c r="DEZ212" s="275"/>
      <c r="DFA212" s="275"/>
      <c r="DFB212" s="275"/>
      <c r="DFC212" s="275"/>
      <c r="DFD212" s="275"/>
      <c r="DFE212" s="275"/>
      <c r="DFF212" s="275"/>
      <c r="DFG212" s="275"/>
      <c r="DFH212" s="275"/>
      <c r="DFI212" s="275"/>
      <c r="DFJ212" s="275"/>
      <c r="DFK212" s="275"/>
      <c r="DFL212" s="275"/>
      <c r="DFM212" s="275"/>
      <c r="DFN212" s="275"/>
      <c r="DFO212" s="275"/>
      <c r="DFP212" s="275"/>
      <c r="DFQ212" s="275"/>
      <c r="DFR212" s="275"/>
      <c r="DFS212" s="275"/>
      <c r="DFT212" s="275"/>
      <c r="DFU212" s="275"/>
      <c r="DFV212" s="275"/>
      <c r="DFW212" s="275"/>
      <c r="DFX212" s="275"/>
      <c r="DFY212" s="275"/>
      <c r="DFZ212" s="275"/>
      <c r="DGA212" s="275"/>
      <c r="DGB212" s="275"/>
      <c r="DGC212" s="275"/>
      <c r="DGD212" s="275"/>
      <c r="DGE212" s="275"/>
      <c r="DGF212" s="275"/>
      <c r="DGG212" s="275"/>
      <c r="DGH212" s="275"/>
      <c r="DGI212" s="275"/>
      <c r="DGJ212" s="275"/>
      <c r="DGK212" s="275"/>
      <c r="DGL212" s="275"/>
      <c r="DGM212" s="275"/>
      <c r="DGN212" s="275"/>
      <c r="DGO212" s="275"/>
      <c r="DGP212" s="275"/>
      <c r="DGQ212" s="275"/>
      <c r="DGR212" s="275"/>
      <c r="DGS212" s="275"/>
      <c r="DGT212" s="275"/>
      <c r="DGU212" s="275"/>
      <c r="DGV212" s="275"/>
      <c r="DGW212" s="275"/>
      <c r="DGX212" s="275"/>
      <c r="DGY212" s="275"/>
      <c r="DGZ212" s="275"/>
      <c r="DHA212" s="275"/>
      <c r="DHB212" s="275"/>
      <c r="DHC212" s="275"/>
      <c r="DHD212" s="275"/>
      <c r="DHE212" s="275"/>
      <c r="DHF212" s="275"/>
      <c r="DHG212" s="275"/>
      <c r="DHH212" s="275"/>
      <c r="DHI212" s="275"/>
      <c r="DHJ212" s="275"/>
      <c r="DHK212" s="275"/>
      <c r="DHL212" s="275"/>
      <c r="DHM212" s="275"/>
      <c r="DHN212" s="275"/>
      <c r="DHO212" s="275"/>
      <c r="DHP212" s="275"/>
      <c r="DHQ212" s="275"/>
      <c r="DHR212" s="275"/>
      <c r="DHS212" s="275"/>
      <c r="DHT212" s="275"/>
      <c r="DHU212" s="275"/>
      <c r="DHV212" s="275"/>
      <c r="DHW212" s="275"/>
      <c r="DHX212" s="275"/>
      <c r="DHY212" s="275"/>
      <c r="DHZ212" s="275"/>
      <c r="DIA212" s="275"/>
      <c r="DIB212" s="275"/>
      <c r="DIC212" s="275"/>
      <c r="DID212" s="275"/>
      <c r="DIE212" s="275"/>
      <c r="DIF212" s="275"/>
      <c r="DIG212" s="275"/>
      <c r="DIH212" s="275"/>
      <c r="DII212" s="275"/>
      <c r="DIJ212" s="275"/>
      <c r="DIK212" s="275"/>
      <c r="DIL212" s="275"/>
      <c r="DIM212" s="275"/>
      <c r="DIN212" s="275"/>
      <c r="DIO212" s="275"/>
      <c r="DIP212" s="275"/>
      <c r="DIQ212" s="275"/>
      <c r="DIR212" s="275"/>
      <c r="DIS212" s="275"/>
      <c r="DIT212" s="275"/>
      <c r="DIU212" s="275"/>
      <c r="DIV212" s="275"/>
      <c r="DIW212" s="275"/>
      <c r="DIX212" s="275"/>
      <c r="DIY212" s="275"/>
      <c r="DIZ212" s="275"/>
      <c r="DJA212" s="275"/>
      <c r="DJB212" s="275"/>
      <c r="DJC212" s="275"/>
      <c r="DJD212" s="275"/>
      <c r="DJE212" s="275"/>
      <c r="DJF212" s="275"/>
      <c r="DJG212" s="275"/>
      <c r="DJH212" s="275"/>
      <c r="DJI212" s="275"/>
      <c r="DJJ212" s="275"/>
      <c r="DJK212" s="275"/>
      <c r="DJL212" s="275"/>
      <c r="DJM212" s="275"/>
      <c r="DJN212" s="275"/>
      <c r="DJO212" s="275"/>
      <c r="DJP212" s="275"/>
      <c r="DJQ212" s="275"/>
      <c r="DJR212" s="275"/>
      <c r="DJS212" s="275"/>
      <c r="DJT212" s="275"/>
      <c r="DJU212" s="275"/>
      <c r="DJV212" s="275"/>
      <c r="DJW212" s="275"/>
      <c r="DJX212" s="275"/>
      <c r="DJY212" s="275"/>
      <c r="DJZ212" s="275"/>
      <c r="DKA212" s="275"/>
      <c r="DKB212" s="275"/>
      <c r="DKC212" s="275"/>
      <c r="DKD212" s="275"/>
      <c r="DKE212" s="275"/>
      <c r="DKF212" s="275"/>
      <c r="DKG212" s="275"/>
      <c r="DKH212" s="275"/>
      <c r="DKI212" s="275"/>
      <c r="DKJ212" s="275"/>
      <c r="DKK212" s="275"/>
      <c r="DKL212" s="275"/>
      <c r="DKM212" s="275"/>
      <c r="DKN212" s="275"/>
      <c r="DKO212" s="275"/>
      <c r="DKP212" s="275"/>
      <c r="DKQ212" s="275"/>
      <c r="DKR212" s="275"/>
      <c r="DKS212" s="275"/>
      <c r="DKT212" s="275"/>
      <c r="DKU212" s="275"/>
      <c r="DKV212" s="275"/>
      <c r="DKW212" s="275"/>
      <c r="DKX212" s="275"/>
      <c r="DKY212" s="275"/>
      <c r="DKZ212" s="275"/>
      <c r="DLA212" s="275"/>
      <c r="DLB212" s="275"/>
      <c r="DLC212" s="275"/>
      <c r="DLD212" s="275"/>
      <c r="DLE212" s="275"/>
      <c r="DLF212" s="275"/>
      <c r="DLG212" s="275"/>
      <c r="DLH212" s="275"/>
      <c r="DLI212" s="275"/>
      <c r="DLJ212" s="275"/>
      <c r="DLK212" s="275"/>
      <c r="DLL212" s="275"/>
      <c r="DLM212" s="275"/>
      <c r="DLN212" s="275"/>
      <c r="DLO212" s="275"/>
      <c r="DLP212" s="275"/>
      <c r="DLQ212" s="275"/>
      <c r="DLR212" s="275"/>
      <c r="DLS212" s="275"/>
      <c r="DLT212" s="275"/>
      <c r="DLU212" s="275"/>
      <c r="DLV212" s="275"/>
      <c r="DLW212" s="275"/>
      <c r="DLX212" s="275"/>
      <c r="DLY212" s="275"/>
      <c r="DLZ212" s="275"/>
      <c r="DMA212" s="275"/>
      <c r="DMB212" s="275"/>
      <c r="DMC212" s="275"/>
      <c r="DMD212" s="275"/>
      <c r="DME212" s="275"/>
      <c r="DMF212" s="275"/>
      <c r="DMG212" s="275"/>
      <c r="DMH212" s="275"/>
      <c r="DMI212" s="275"/>
      <c r="DMJ212" s="275"/>
      <c r="DMK212" s="275"/>
      <c r="DML212" s="275"/>
      <c r="DMM212" s="275"/>
      <c r="DMN212" s="275"/>
      <c r="DMO212" s="275"/>
      <c r="DMP212" s="275"/>
      <c r="DMQ212" s="275"/>
      <c r="DMR212" s="275"/>
      <c r="DMS212" s="275"/>
      <c r="DMT212" s="275"/>
      <c r="DMU212" s="275"/>
      <c r="DMV212" s="275"/>
      <c r="DMW212" s="275"/>
      <c r="DMX212" s="275"/>
      <c r="DMY212" s="275"/>
      <c r="DMZ212" s="275"/>
      <c r="DNA212" s="275"/>
      <c r="DNB212" s="275"/>
      <c r="DNC212" s="275"/>
      <c r="DND212" s="275"/>
      <c r="DNE212" s="275"/>
      <c r="DNF212" s="275"/>
      <c r="DNG212" s="275"/>
      <c r="DNH212" s="275"/>
      <c r="DNI212" s="275"/>
      <c r="DNJ212" s="275"/>
      <c r="DNK212" s="275"/>
      <c r="DNL212" s="275"/>
      <c r="DNM212" s="275"/>
      <c r="DNN212" s="275"/>
      <c r="DNO212" s="275"/>
      <c r="DNP212" s="275"/>
      <c r="DNQ212" s="275"/>
      <c r="DNR212" s="275"/>
      <c r="DNS212" s="275"/>
      <c r="DNT212" s="275"/>
      <c r="DNU212" s="275"/>
      <c r="DNV212" s="275"/>
      <c r="DNW212" s="275"/>
      <c r="DNX212" s="275"/>
      <c r="DNY212" s="275"/>
      <c r="DNZ212" s="275"/>
      <c r="DOA212" s="275"/>
      <c r="DOB212" s="275"/>
      <c r="DOC212" s="275"/>
      <c r="DOD212" s="275"/>
      <c r="DOE212" s="275"/>
      <c r="DOF212" s="275"/>
      <c r="DOG212" s="275"/>
      <c r="DOH212" s="275"/>
      <c r="DOI212" s="275"/>
      <c r="DOJ212" s="275"/>
      <c r="DOK212" s="275"/>
      <c r="DOL212" s="275"/>
      <c r="DOM212" s="275"/>
      <c r="DON212" s="275"/>
      <c r="DOO212" s="275"/>
      <c r="DOP212" s="275"/>
      <c r="DOQ212" s="275"/>
      <c r="DOR212" s="275"/>
      <c r="DOS212" s="275"/>
      <c r="DOT212" s="275"/>
      <c r="DOU212" s="275"/>
      <c r="DOV212" s="275"/>
      <c r="DOW212" s="275"/>
      <c r="DOX212" s="275"/>
      <c r="DOY212" s="275"/>
      <c r="DOZ212" s="275"/>
      <c r="DPA212" s="275"/>
      <c r="DPB212" s="275"/>
      <c r="DPC212" s="275"/>
      <c r="DPD212" s="275"/>
      <c r="DPE212" s="275"/>
      <c r="DPF212" s="275"/>
      <c r="DPG212" s="275"/>
      <c r="DPH212" s="275"/>
      <c r="DPI212" s="275"/>
      <c r="DPJ212" s="275"/>
      <c r="DPK212" s="275"/>
      <c r="DPL212" s="275"/>
      <c r="DPM212" s="275"/>
      <c r="DPN212" s="275"/>
      <c r="DPO212" s="275"/>
      <c r="DPP212" s="275"/>
      <c r="DPQ212" s="275"/>
      <c r="DPR212" s="275"/>
      <c r="DPS212" s="275"/>
      <c r="DPT212" s="275"/>
      <c r="DPU212" s="275"/>
      <c r="DPV212" s="275"/>
      <c r="DPW212" s="275"/>
      <c r="DPX212" s="275"/>
      <c r="DPY212" s="275"/>
      <c r="DPZ212" s="275"/>
      <c r="DQA212" s="275"/>
      <c r="DQB212" s="275"/>
      <c r="DQC212" s="275"/>
      <c r="DQD212" s="275"/>
      <c r="DQE212" s="275"/>
      <c r="DQF212" s="275"/>
      <c r="DQG212" s="275"/>
      <c r="DQH212" s="275"/>
      <c r="DQI212" s="275"/>
      <c r="DQJ212" s="275"/>
      <c r="DQK212" s="275"/>
      <c r="DQL212" s="275"/>
      <c r="DQM212" s="275"/>
      <c r="DQN212" s="275"/>
      <c r="DQO212" s="275"/>
      <c r="DQP212" s="275"/>
      <c r="DQQ212" s="275"/>
      <c r="DQR212" s="275"/>
      <c r="DQS212" s="275"/>
      <c r="DQT212" s="275"/>
      <c r="DQU212" s="275"/>
      <c r="DQV212" s="275"/>
      <c r="DQW212" s="275"/>
      <c r="DQX212" s="275"/>
      <c r="DQY212" s="275"/>
      <c r="DQZ212" s="275"/>
      <c r="DRA212" s="275"/>
      <c r="DRB212" s="275"/>
      <c r="DRC212" s="275"/>
      <c r="DRD212" s="275"/>
      <c r="DRE212" s="275"/>
      <c r="DRF212" s="275"/>
      <c r="DRG212" s="275"/>
      <c r="DRH212" s="275"/>
      <c r="DRI212" s="275"/>
      <c r="DRJ212" s="275"/>
      <c r="DRK212" s="275"/>
      <c r="DRL212" s="275"/>
      <c r="DRM212" s="275"/>
      <c r="DRN212" s="275"/>
      <c r="DRO212" s="275"/>
      <c r="DRP212" s="275"/>
      <c r="DRQ212" s="275"/>
      <c r="DRR212" s="275"/>
      <c r="DRS212" s="275"/>
      <c r="DRT212" s="275"/>
      <c r="DRU212" s="275"/>
      <c r="DRV212" s="275"/>
      <c r="DRW212" s="275"/>
      <c r="DRX212" s="275"/>
      <c r="DRY212" s="275"/>
      <c r="DRZ212" s="275"/>
      <c r="DSA212" s="275"/>
      <c r="DSB212" s="275"/>
      <c r="DSC212" s="275"/>
      <c r="DSD212" s="275"/>
      <c r="DSE212" s="275"/>
      <c r="DSF212" s="275"/>
      <c r="DSG212" s="275"/>
      <c r="DSH212" s="275"/>
      <c r="DSI212" s="275"/>
      <c r="DSJ212" s="275"/>
      <c r="DSK212" s="275"/>
      <c r="DSL212" s="275"/>
      <c r="DSM212" s="275"/>
      <c r="DSN212" s="275"/>
      <c r="DSO212" s="275"/>
      <c r="DSP212" s="275"/>
      <c r="DSQ212" s="275"/>
      <c r="DSR212" s="275"/>
      <c r="DSS212" s="275"/>
      <c r="DST212" s="275"/>
      <c r="DSU212" s="275"/>
      <c r="DSV212" s="275"/>
      <c r="DSW212" s="275"/>
      <c r="DSX212" s="275"/>
      <c r="DSY212" s="275"/>
      <c r="DSZ212" s="275"/>
      <c r="DTA212" s="275"/>
      <c r="DTB212" s="275"/>
      <c r="DTC212" s="275"/>
      <c r="DTD212" s="275"/>
      <c r="DTE212" s="275"/>
      <c r="DTF212" s="275"/>
      <c r="DTG212" s="275"/>
      <c r="DTH212" s="275"/>
      <c r="DTI212" s="275"/>
      <c r="DTJ212" s="275"/>
      <c r="DTK212" s="275"/>
      <c r="DTL212" s="275"/>
      <c r="DTM212" s="275"/>
      <c r="DTN212" s="275"/>
      <c r="DTO212" s="275"/>
      <c r="DTP212" s="275"/>
      <c r="DTQ212" s="275"/>
      <c r="DTR212" s="275"/>
      <c r="DTS212" s="275"/>
      <c r="DTT212" s="275"/>
      <c r="DTU212" s="275"/>
      <c r="DTV212" s="275"/>
      <c r="DTW212" s="275"/>
      <c r="DTX212" s="275"/>
      <c r="DTY212" s="275"/>
      <c r="DTZ212" s="275"/>
      <c r="DUA212" s="275"/>
      <c r="DUB212" s="275"/>
      <c r="DUC212" s="275"/>
      <c r="DUD212" s="275"/>
      <c r="DUE212" s="275"/>
      <c r="DUF212" s="275"/>
      <c r="DUG212" s="275"/>
      <c r="DUH212" s="275"/>
      <c r="DUI212" s="275"/>
      <c r="DUJ212" s="275"/>
      <c r="DUK212" s="275"/>
      <c r="DUL212" s="275"/>
      <c r="DUM212" s="275"/>
      <c r="DUN212" s="275"/>
      <c r="DUO212" s="275"/>
      <c r="DUP212" s="275"/>
      <c r="DUQ212" s="275"/>
      <c r="DUR212" s="275"/>
      <c r="DUS212" s="275"/>
      <c r="DUT212" s="275"/>
      <c r="DUU212" s="275"/>
      <c r="DUV212" s="275"/>
      <c r="DUW212" s="275"/>
      <c r="DUX212" s="275"/>
      <c r="DUY212" s="275"/>
      <c r="DUZ212" s="275"/>
      <c r="DVA212" s="275"/>
      <c r="DVB212" s="275"/>
      <c r="DVC212" s="275"/>
      <c r="DVD212" s="275"/>
      <c r="DVE212" s="275"/>
      <c r="DVF212" s="275"/>
      <c r="DVG212" s="275"/>
      <c r="DVH212" s="275"/>
      <c r="DVI212" s="275"/>
      <c r="DVJ212" s="275"/>
      <c r="DVK212" s="275"/>
      <c r="DVL212" s="275"/>
      <c r="DVM212" s="275"/>
      <c r="DVN212" s="275"/>
      <c r="DVO212" s="275"/>
      <c r="DVP212" s="275"/>
      <c r="DVQ212" s="275"/>
      <c r="DVR212" s="275"/>
      <c r="DVS212" s="275"/>
      <c r="DVT212" s="275"/>
      <c r="DVU212" s="275"/>
      <c r="DVV212" s="275"/>
      <c r="DVW212" s="275"/>
      <c r="DVX212" s="275"/>
      <c r="DVY212" s="275"/>
      <c r="DVZ212" s="275"/>
      <c r="DWA212" s="275"/>
      <c r="DWB212" s="275"/>
      <c r="DWC212" s="275"/>
      <c r="DWD212" s="275"/>
      <c r="DWE212" s="275"/>
      <c r="DWF212" s="275"/>
      <c r="DWG212" s="275"/>
      <c r="DWH212" s="275"/>
      <c r="DWI212" s="275"/>
      <c r="DWJ212" s="275"/>
      <c r="DWK212" s="275"/>
      <c r="DWL212" s="275"/>
      <c r="DWM212" s="275"/>
      <c r="DWN212" s="275"/>
      <c r="DWO212" s="275"/>
      <c r="DWP212" s="275"/>
      <c r="DWQ212" s="275"/>
      <c r="DWR212" s="275"/>
      <c r="DWS212" s="275"/>
      <c r="DWT212" s="275"/>
      <c r="DWU212" s="275"/>
      <c r="DWV212" s="275"/>
      <c r="DWW212" s="275"/>
      <c r="DWX212" s="275"/>
      <c r="DWY212" s="275"/>
      <c r="DWZ212" s="275"/>
      <c r="DXA212" s="275"/>
      <c r="DXB212" s="275"/>
      <c r="DXC212" s="275"/>
      <c r="DXD212" s="275"/>
      <c r="DXE212" s="275"/>
      <c r="DXF212" s="275"/>
      <c r="DXG212" s="275"/>
      <c r="DXH212" s="275"/>
      <c r="DXI212" s="275"/>
      <c r="DXJ212" s="275"/>
      <c r="DXK212" s="275"/>
      <c r="DXL212" s="275"/>
      <c r="DXM212" s="275"/>
      <c r="DXN212" s="275"/>
      <c r="DXO212" s="275"/>
      <c r="DXP212" s="275"/>
      <c r="DXQ212" s="275"/>
      <c r="DXR212" s="275"/>
      <c r="DXS212" s="275"/>
      <c r="DXT212" s="275"/>
      <c r="DXU212" s="275"/>
      <c r="DXV212" s="275"/>
      <c r="DXW212" s="275"/>
      <c r="DXX212" s="275"/>
      <c r="DXY212" s="275"/>
      <c r="DXZ212" s="275"/>
      <c r="DYA212" s="275"/>
      <c r="DYB212" s="275"/>
      <c r="DYC212" s="275"/>
      <c r="DYD212" s="275"/>
      <c r="DYE212" s="275"/>
      <c r="DYF212" s="275"/>
      <c r="DYG212" s="275"/>
      <c r="DYH212" s="275"/>
      <c r="DYI212" s="275"/>
      <c r="DYJ212" s="275"/>
      <c r="DYK212" s="275"/>
      <c r="DYL212" s="275"/>
      <c r="DYM212" s="275"/>
      <c r="DYN212" s="275"/>
      <c r="DYO212" s="275"/>
      <c r="DYP212" s="275"/>
      <c r="DYQ212" s="275"/>
      <c r="DYR212" s="275"/>
      <c r="DYS212" s="275"/>
      <c r="DYT212" s="275"/>
      <c r="DYU212" s="275"/>
      <c r="DYV212" s="275"/>
      <c r="DYW212" s="275"/>
      <c r="DYX212" s="275"/>
      <c r="DYY212" s="275"/>
      <c r="DYZ212" s="275"/>
      <c r="DZA212" s="275"/>
      <c r="DZB212" s="275"/>
      <c r="DZC212" s="275"/>
      <c r="DZD212" s="275"/>
      <c r="DZE212" s="275"/>
      <c r="DZF212" s="275"/>
      <c r="DZG212" s="275"/>
      <c r="DZH212" s="275"/>
      <c r="DZI212" s="275"/>
      <c r="DZJ212" s="275"/>
      <c r="DZK212" s="275"/>
      <c r="DZL212" s="275"/>
      <c r="DZM212" s="275"/>
      <c r="DZN212" s="275"/>
      <c r="DZO212" s="275"/>
      <c r="DZP212" s="275"/>
      <c r="DZQ212" s="275"/>
      <c r="DZR212" s="275"/>
      <c r="DZS212" s="275"/>
      <c r="DZT212" s="275"/>
      <c r="DZU212" s="275"/>
      <c r="DZV212" s="275"/>
      <c r="DZW212" s="275"/>
      <c r="DZX212" s="275"/>
      <c r="DZY212" s="275"/>
      <c r="DZZ212" s="275"/>
      <c r="EAA212" s="275"/>
      <c r="EAB212" s="275"/>
      <c r="EAC212" s="275"/>
      <c r="EAD212" s="275"/>
      <c r="EAE212" s="275"/>
      <c r="EAF212" s="275"/>
      <c r="EAG212" s="275"/>
      <c r="EAH212" s="275"/>
      <c r="EAI212" s="275"/>
      <c r="EAJ212" s="275"/>
      <c r="EAK212" s="275"/>
      <c r="EAL212" s="275"/>
      <c r="EAM212" s="275"/>
      <c r="EAN212" s="275"/>
      <c r="EAO212" s="275"/>
      <c r="EAP212" s="275"/>
      <c r="EAQ212" s="275"/>
      <c r="EAR212" s="275"/>
      <c r="EAS212" s="275"/>
      <c r="EAT212" s="275"/>
      <c r="EAU212" s="275"/>
      <c r="EAV212" s="275"/>
      <c r="EAW212" s="275"/>
      <c r="EAX212" s="275"/>
      <c r="EAY212" s="275"/>
      <c r="EAZ212" s="275"/>
      <c r="EBA212" s="275"/>
      <c r="EBB212" s="275"/>
      <c r="EBC212" s="275"/>
      <c r="EBD212" s="275"/>
      <c r="EBE212" s="275"/>
      <c r="EBF212" s="275"/>
      <c r="EBG212" s="275"/>
      <c r="EBH212" s="275"/>
      <c r="EBI212" s="275"/>
      <c r="EBJ212" s="275"/>
      <c r="EBK212" s="275"/>
      <c r="EBL212" s="275"/>
      <c r="EBM212" s="275"/>
      <c r="EBN212" s="275"/>
      <c r="EBO212" s="275"/>
      <c r="EBP212" s="275"/>
      <c r="EBQ212" s="275"/>
      <c r="EBR212" s="275"/>
      <c r="EBS212" s="275"/>
      <c r="EBT212" s="275"/>
      <c r="EBU212" s="275"/>
      <c r="EBV212" s="275"/>
      <c r="EBW212" s="275"/>
      <c r="EBX212" s="275"/>
      <c r="EBY212" s="275"/>
      <c r="EBZ212" s="275"/>
      <c r="ECA212" s="275"/>
      <c r="ECB212" s="275"/>
      <c r="ECC212" s="275"/>
      <c r="ECD212" s="275"/>
      <c r="ECE212" s="275"/>
      <c r="ECF212" s="275"/>
      <c r="ECG212" s="275"/>
      <c r="ECH212" s="275"/>
      <c r="ECI212" s="275"/>
      <c r="ECJ212" s="275"/>
      <c r="ECK212" s="275"/>
      <c r="ECL212" s="275"/>
      <c r="ECM212" s="275"/>
      <c r="ECN212" s="275"/>
      <c r="ECO212" s="275"/>
      <c r="ECP212" s="275"/>
      <c r="ECQ212" s="275"/>
      <c r="ECR212" s="275"/>
      <c r="ECS212" s="275"/>
      <c r="ECT212" s="275"/>
      <c r="ECU212" s="275"/>
      <c r="ECV212" s="275"/>
      <c r="ECW212" s="275"/>
      <c r="ECX212" s="275"/>
      <c r="ECY212" s="275"/>
      <c r="ECZ212" s="275"/>
      <c r="EDA212" s="275"/>
      <c r="EDB212" s="275"/>
      <c r="EDC212" s="275"/>
      <c r="EDD212" s="275"/>
      <c r="EDE212" s="275"/>
      <c r="EDF212" s="275"/>
      <c r="EDG212" s="275"/>
      <c r="EDH212" s="275"/>
      <c r="EDI212" s="275"/>
      <c r="EDJ212" s="275"/>
      <c r="EDK212" s="275"/>
      <c r="EDL212" s="275"/>
      <c r="EDM212" s="275"/>
      <c r="EDN212" s="275"/>
      <c r="EDO212" s="275"/>
      <c r="EDP212" s="275"/>
      <c r="EDQ212" s="275"/>
      <c r="EDR212" s="275"/>
      <c r="EDS212" s="275"/>
      <c r="EDT212" s="275"/>
      <c r="EDU212" s="275"/>
      <c r="EDV212" s="275"/>
      <c r="EDW212" s="275"/>
      <c r="EDX212" s="275"/>
      <c r="EDY212" s="275"/>
      <c r="EDZ212" s="275"/>
      <c r="EEA212" s="275"/>
      <c r="EEB212" s="275"/>
      <c r="EEC212" s="275"/>
      <c r="EED212" s="275"/>
      <c r="EEE212" s="275"/>
      <c r="EEF212" s="275"/>
      <c r="EEG212" s="275"/>
      <c r="EEH212" s="275"/>
      <c r="EEI212" s="275"/>
      <c r="EEJ212" s="275"/>
      <c r="EEK212" s="275"/>
      <c r="EEL212" s="275"/>
      <c r="EEM212" s="275"/>
      <c r="EEN212" s="275"/>
      <c r="EEO212" s="275"/>
      <c r="EEP212" s="275"/>
      <c r="EEQ212" s="275"/>
      <c r="EER212" s="275"/>
      <c r="EES212" s="275"/>
      <c r="EET212" s="275"/>
      <c r="EEU212" s="275"/>
      <c r="EEV212" s="275"/>
      <c r="EEW212" s="275"/>
      <c r="EEX212" s="275"/>
      <c r="EEY212" s="275"/>
      <c r="EEZ212" s="275"/>
      <c r="EFA212" s="275"/>
      <c r="EFB212" s="275"/>
      <c r="EFC212" s="275"/>
      <c r="EFD212" s="275"/>
      <c r="EFE212" s="275"/>
      <c r="EFF212" s="275"/>
      <c r="EFG212" s="275"/>
      <c r="EFH212" s="275"/>
      <c r="EFI212" s="275"/>
      <c r="EFJ212" s="275"/>
      <c r="EFK212" s="275"/>
      <c r="EFL212" s="275"/>
      <c r="EFM212" s="275"/>
      <c r="EFN212" s="275"/>
      <c r="EFO212" s="275"/>
      <c r="EFP212" s="275"/>
      <c r="EFQ212" s="275"/>
      <c r="EFR212" s="275"/>
      <c r="EFS212" s="275"/>
      <c r="EFT212" s="275"/>
      <c r="EFU212" s="275"/>
      <c r="EFV212" s="275"/>
      <c r="EFW212" s="275"/>
      <c r="EFX212" s="275"/>
      <c r="EFY212" s="275"/>
      <c r="EFZ212" s="275"/>
      <c r="EGA212" s="275"/>
      <c r="EGB212" s="275"/>
      <c r="EGC212" s="275"/>
      <c r="EGD212" s="275"/>
      <c r="EGE212" s="275"/>
      <c r="EGF212" s="275"/>
      <c r="EGG212" s="275"/>
      <c r="EGH212" s="275"/>
      <c r="EGI212" s="275"/>
      <c r="EGJ212" s="275"/>
      <c r="EGK212" s="275"/>
      <c r="EGL212" s="275"/>
      <c r="EGM212" s="275"/>
      <c r="EGN212" s="275"/>
      <c r="EGO212" s="275"/>
      <c r="EGP212" s="275"/>
      <c r="EGQ212" s="275"/>
      <c r="EGR212" s="275"/>
      <c r="EGS212" s="275"/>
      <c r="EGT212" s="275"/>
      <c r="EGU212" s="275"/>
      <c r="EGV212" s="275"/>
      <c r="EGW212" s="275"/>
      <c r="EGX212" s="275"/>
      <c r="EGY212" s="275"/>
      <c r="EGZ212" s="275"/>
      <c r="EHA212" s="275"/>
      <c r="EHB212" s="275"/>
      <c r="EHC212" s="275"/>
      <c r="EHD212" s="275"/>
      <c r="EHE212" s="275"/>
      <c r="EHF212" s="275"/>
      <c r="EHG212" s="275"/>
      <c r="EHH212" s="275"/>
      <c r="EHI212" s="275"/>
      <c r="EHJ212" s="275"/>
      <c r="EHK212" s="275"/>
      <c r="EHL212" s="275"/>
      <c r="EHM212" s="275"/>
      <c r="EHN212" s="275"/>
      <c r="EHO212" s="275"/>
      <c r="EHP212" s="275"/>
      <c r="EHQ212" s="275"/>
      <c r="EHR212" s="275"/>
      <c r="EHS212" s="275"/>
      <c r="EHT212" s="275"/>
      <c r="EHU212" s="275"/>
      <c r="EHV212" s="275"/>
      <c r="EHW212" s="275"/>
      <c r="EHX212" s="275"/>
      <c r="EHY212" s="275"/>
      <c r="EHZ212" s="275"/>
      <c r="EIA212" s="275"/>
      <c r="EIB212" s="275"/>
      <c r="EIC212" s="275"/>
      <c r="EID212" s="275"/>
      <c r="EIE212" s="275"/>
      <c r="EIF212" s="275"/>
      <c r="EIG212" s="275"/>
      <c r="EIH212" s="275"/>
      <c r="EII212" s="275"/>
      <c r="EIJ212" s="275"/>
      <c r="EIK212" s="275"/>
      <c r="EIL212" s="275"/>
      <c r="EIM212" s="275"/>
      <c r="EIN212" s="275"/>
      <c r="EIO212" s="275"/>
      <c r="EIP212" s="275"/>
      <c r="EIQ212" s="275"/>
      <c r="EIR212" s="275"/>
      <c r="EIS212" s="275"/>
      <c r="EIT212" s="275"/>
      <c r="EIU212" s="275"/>
      <c r="EIV212" s="275"/>
      <c r="EIW212" s="275"/>
      <c r="EIX212" s="275"/>
      <c r="EIY212" s="275"/>
      <c r="EIZ212" s="275"/>
      <c r="EJA212" s="275"/>
      <c r="EJB212" s="275"/>
      <c r="EJC212" s="275"/>
      <c r="EJD212" s="275"/>
      <c r="EJE212" s="275"/>
      <c r="EJF212" s="275"/>
      <c r="EJG212" s="275"/>
      <c r="EJH212" s="275"/>
      <c r="EJI212" s="275"/>
      <c r="EJJ212" s="275"/>
      <c r="EJK212" s="275"/>
      <c r="EJL212" s="275"/>
      <c r="EJM212" s="275"/>
      <c r="EJN212" s="275"/>
      <c r="EJO212" s="275"/>
      <c r="EJP212" s="275"/>
      <c r="EJQ212" s="275"/>
      <c r="EJR212" s="275"/>
      <c r="EJS212" s="275"/>
      <c r="EJT212" s="275"/>
      <c r="EJU212" s="275"/>
      <c r="EJV212" s="275"/>
      <c r="EJW212" s="275"/>
      <c r="EJX212" s="275"/>
      <c r="EJY212" s="275"/>
      <c r="EJZ212" s="275"/>
      <c r="EKA212" s="275"/>
      <c r="EKB212" s="275"/>
      <c r="EKC212" s="275"/>
      <c r="EKD212" s="275"/>
      <c r="EKE212" s="275"/>
      <c r="EKF212" s="275"/>
      <c r="EKG212" s="275"/>
      <c r="EKH212" s="275"/>
      <c r="EKI212" s="275"/>
      <c r="EKJ212" s="275"/>
      <c r="EKK212" s="275"/>
      <c r="EKL212" s="275"/>
      <c r="EKM212" s="275"/>
      <c r="EKN212" s="275"/>
      <c r="EKO212" s="275"/>
      <c r="EKP212" s="275"/>
      <c r="EKQ212" s="275"/>
      <c r="EKR212" s="275"/>
      <c r="EKS212" s="275"/>
      <c r="EKT212" s="275"/>
      <c r="EKU212" s="275"/>
      <c r="EKV212" s="275"/>
      <c r="EKW212" s="275"/>
      <c r="EKX212" s="275"/>
      <c r="EKY212" s="275"/>
      <c r="EKZ212" s="275"/>
      <c r="ELA212" s="275"/>
      <c r="ELB212" s="275"/>
      <c r="ELC212" s="275"/>
      <c r="ELD212" s="275"/>
      <c r="ELE212" s="275"/>
      <c r="ELF212" s="275"/>
      <c r="ELG212" s="275"/>
      <c r="ELH212" s="275"/>
      <c r="ELI212" s="275"/>
      <c r="ELJ212" s="275"/>
      <c r="ELK212" s="275"/>
      <c r="ELL212" s="275"/>
      <c r="ELM212" s="275"/>
      <c r="ELN212" s="275"/>
      <c r="ELO212" s="275"/>
      <c r="ELP212" s="275"/>
      <c r="ELQ212" s="275"/>
      <c r="ELR212" s="275"/>
      <c r="ELS212" s="275"/>
      <c r="ELT212" s="275"/>
      <c r="ELU212" s="275"/>
      <c r="ELV212" s="275"/>
      <c r="ELW212" s="275"/>
      <c r="ELX212" s="275"/>
      <c r="ELY212" s="275"/>
      <c r="ELZ212" s="275"/>
      <c r="EMA212" s="275"/>
      <c r="EMB212" s="275"/>
      <c r="EMC212" s="275"/>
      <c r="EMD212" s="275"/>
      <c r="EME212" s="275"/>
      <c r="EMF212" s="275"/>
      <c r="EMG212" s="275"/>
      <c r="EMH212" s="275"/>
      <c r="EMI212" s="275"/>
      <c r="EMJ212" s="275"/>
      <c r="EMK212" s="275"/>
      <c r="EML212" s="275"/>
      <c r="EMM212" s="275"/>
      <c r="EMN212" s="275"/>
      <c r="EMO212" s="275"/>
      <c r="EMP212" s="275"/>
      <c r="EMQ212" s="275"/>
      <c r="EMR212" s="275"/>
      <c r="EMS212" s="275"/>
      <c r="EMT212" s="275"/>
      <c r="EMU212" s="275"/>
      <c r="EMV212" s="275"/>
      <c r="EMW212" s="275"/>
      <c r="EMX212" s="275"/>
      <c r="EMY212" s="275"/>
      <c r="EMZ212" s="275"/>
      <c r="ENA212" s="275"/>
      <c r="ENB212" s="275"/>
      <c r="ENC212" s="275"/>
      <c r="END212" s="275"/>
      <c r="ENE212" s="275"/>
      <c r="ENF212" s="275"/>
      <c r="ENG212" s="275"/>
      <c r="ENH212" s="275"/>
      <c r="ENI212" s="275"/>
      <c r="ENJ212" s="275"/>
      <c r="ENK212" s="275"/>
      <c r="ENL212" s="275"/>
      <c r="ENM212" s="275"/>
      <c r="ENN212" s="275"/>
      <c r="ENO212" s="275"/>
      <c r="ENP212" s="275"/>
      <c r="ENQ212" s="275"/>
      <c r="ENR212" s="275"/>
      <c r="ENS212" s="275"/>
      <c r="ENT212" s="275"/>
      <c r="ENU212" s="275"/>
      <c r="ENV212" s="275"/>
      <c r="ENW212" s="275"/>
      <c r="ENX212" s="275"/>
      <c r="ENY212" s="275"/>
      <c r="ENZ212" s="275"/>
      <c r="EOA212" s="275"/>
      <c r="EOB212" s="275"/>
      <c r="EOC212" s="275"/>
      <c r="EOD212" s="275"/>
      <c r="EOE212" s="275"/>
      <c r="EOF212" s="275"/>
      <c r="EOG212" s="275"/>
      <c r="EOH212" s="275"/>
      <c r="EOI212" s="275"/>
      <c r="EOJ212" s="275"/>
      <c r="EOK212" s="275"/>
      <c r="EOL212" s="275"/>
      <c r="EOM212" s="275"/>
      <c r="EON212" s="275"/>
      <c r="EOO212" s="275"/>
      <c r="EOP212" s="275"/>
      <c r="EOQ212" s="275"/>
      <c r="EOR212" s="275"/>
      <c r="EOS212" s="275"/>
      <c r="EOT212" s="275"/>
      <c r="EOU212" s="275"/>
      <c r="EOV212" s="275"/>
      <c r="EOW212" s="275"/>
      <c r="EOX212" s="275"/>
      <c r="EOY212" s="275"/>
      <c r="EOZ212" s="275"/>
      <c r="EPA212" s="275"/>
      <c r="EPB212" s="275"/>
      <c r="EPC212" s="275"/>
      <c r="EPD212" s="275"/>
      <c r="EPE212" s="275"/>
      <c r="EPF212" s="275"/>
      <c r="EPG212" s="275"/>
      <c r="EPH212" s="275"/>
      <c r="EPI212" s="275"/>
      <c r="EPJ212" s="275"/>
      <c r="EPK212" s="275"/>
      <c r="EPL212" s="275"/>
      <c r="EPM212" s="275"/>
      <c r="EPN212" s="275"/>
      <c r="EPO212" s="275"/>
      <c r="EPP212" s="275"/>
      <c r="EPQ212" s="275"/>
      <c r="EPR212" s="275"/>
      <c r="EPS212" s="275"/>
      <c r="EPT212" s="275"/>
      <c r="EPU212" s="275"/>
      <c r="EPV212" s="275"/>
      <c r="EPW212" s="275"/>
      <c r="EPX212" s="275"/>
      <c r="EPY212" s="275"/>
      <c r="EPZ212" s="275"/>
      <c r="EQA212" s="275"/>
      <c r="EQB212" s="275"/>
      <c r="EQC212" s="275"/>
      <c r="EQD212" s="275"/>
      <c r="EQE212" s="275"/>
      <c r="EQF212" s="275"/>
      <c r="EQG212" s="275"/>
      <c r="EQH212" s="275"/>
      <c r="EQI212" s="275"/>
      <c r="EQJ212" s="275"/>
      <c r="EQK212" s="275"/>
      <c r="EQL212" s="275"/>
      <c r="EQM212" s="275"/>
      <c r="EQN212" s="275"/>
      <c r="EQO212" s="275"/>
      <c r="EQP212" s="275"/>
      <c r="EQQ212" s="275"/>
      <c r="EQR212" s="275"/>
      <c r="EQS212" s="275"/>
      <c r="EQT212" s="275"/>
      <c r="EQU212" s="275"/>
      <c r="EQV212" s="275"/>
      <c r="EQW212" s="275"/>
      <c r="EQX212" s="275"/>
      <c r="EQY212" s="275"/>
      <c r="EQZ212" s="275"/>
      <c r="ERA212" s="275"/>
      <c r="ERB212" s="275"/>
      <c r="ERC212" s="275"/>
      <c r="ERD212" s="275"/>
      <c r="ERE212" s="275"/>
      <c r="ERF212" s="275"/>
      <c r="ERG212" s="275"/>
      <c r="ERH212" s="275"/>
      <c r="ERI212" s="275"/>
      <c r="ERJ212" s="275"/>
      <c r="ERK212" s="275"/>
      <c r="ERL212" s="275"/>
      <c r="ERM212" s="275"/>
      <c r="ERN212" s="275"/>
      <c r="ERO212" s="275"/>
      <c r="ERP212" s="275"/>
      <c r="ERQ212" s="275"/>
      <c r="ERR212" s="275"/>
      <c r="ERS212" s="275"/>
      <c r="ERT212" s="275"/>
      <c r="ERU212" s="275"/>
      <c r="ERV212" s="275"/>
      <c r="ERW212" s="275"/>
      <c r="ERX212" s="275"/>
      <c r="ERY212" s="275"/>
      <c r="ERZ212" s="275"/>
      <c r="ESA212" s="275"/>
      <c r="ESB212" s="275"/>
      <c r="ESC212" s="275"/>
      <c r="ESD212" s="275"/>
      <c r="ESE212" s="275"/>
      <c r="ESF212" s="275"/>
      <c r="ESG212" s="275"/>
      <c r="ESH212" s="275"/>
      <c r="ESI212" s="275"/>
      <c r="ESJ212" s="275"/>
      <c r="ESK212" s="275"/>
      <c r="ESL212" s="275"/>
      <c r="ESM212" s="275"/>
      <c r="ESN212" s="275"/>
      <c r="ESO212" s="275"/>
      <c r="ESP212" s="275"/>
      <c r="ESQ212" s="275"/>
      <c r="ESR212" s="275"/>
      <c r="ESS212" s="275"/>
      <c r="EST212" s="275"/>
      <c r="ESU212" s="275"/>
      <c r="ESV212" s="275"/>
      <c r="ESW212" s="275"/>
      <c r="ESX212" s="275"/>
      <c r="ESY212" s="275"/>
      <c r="ESZ212" s="275"/>
      <c r="ETA212" s="275"/>
      <c r="ETB212" s="275"/>
      <c r="ETC212" s="275"/>
      <c r="ETD212" s="275"/>
      <c r="ETE212" s="275"/>
      <c r="ETF212" s="275"/>
      <c r="ETG212" s="275"/>
      <c r="ETH212" s="275"/>
      <c r="ETI212" s="275"/>
      <c r="ETJ212" s="275"/>
      <c r="ETK212" s="275"/>
      <c r="ETL212" s="275"/>
      <c r="ETM212" s="275"/>
      <c r="ETN212" s="275"/>
      <c r="ETO212" s="275"/>
      <c r="ETP212" s="275"/>
      <c r="ETQ212" s="275"/>
      <c r="ETR212" s="275"/>
      <c r="ETS212" s="275"/>
      <c r="ETT212" s="275"/>
      <c r="ETU212" s="275"/>
      <c r="ETV212" s="275"/>
      <c r="ETW212" s="275"/>
      <c r="ETX212" s="275"/>
      <c r="ETY212" s="275"/>
      <c r="ETZ212" s="275"/>
      <c r="EUA212" s="275"/>
      <c r="EUB212" s="275"/>
      <c r="EUC212" s="275"/>
      <c r="EUD212" s="275"/>
      <c r="EUE212" s="275"/>
      <c r="EUF212" s="275"/>
      <c r="EUG212" s="275"/>
      <c r="EUH212" s="275"/>
      <c r="EUI212" s="275"/>
      <c r="EUJ212" s="275"/>
      <c r="EUK212" s="275"/>
      <c r="EUL212" s="275"/>
      <c r="EUM212" s="275"/>
      <c r="EUN212" s="275"/>
      <c r="EUO212" s="275"/>
      <c r="EUP212" s="275"/>
      <c r="EUQ212" s="275"/>
      <c r="EUR212" s="275"/>
      <c r="EUS212" s="275"/>
      <c r="EUT212" s="275"/>
      <c r="EUU212" s="275"/>
      <c r="EUV212" s="275"/>
      <c r="EUW212" s="275"/>
      <c r="EUX212" s="275"/>
      <c r="EUY212" s="275"/>
      <c r="EUZ212" s="275"/>
      <c r="EVA212" s="275"/>
      <c r="EVB212" s="275"/>
      <c r="EVC212" s="275"/>
      <c r="EVD212" s="275"/>
      <c r="EVE212" s="275"/>
      <c r="EVF212" s="275"/>
      <c r="EVG212" s="275"/>
      <c r="EVH212" s="275"/>
      <c r="EVI212" s="275"/>
      <c r="EVJ212" s="275"/>
      <c r="EVK212" s="275"/>
      <c r="EVL212" s="275"/>
      <c r="EVM212" s="275"/>
      <c r="EVN212" s="275"/>
      <c r="EVO212" s="275"/>
      <c r="EVP212" s="275"/>
      <c r="EVQ212" s="275"/>
      <c r="EVR212" s="275"/>
      <c r="EVS212" s="275"/>
      <c r="EVT212" s="275"/>
      <c r="EVU212" s="275"/>
      <c r="EVV212" s="275"/>
      <c r="EVW212" s="275"/>
      <c r="EVX212" s="275"/>
      <c r="EVY212" s="275"/>
      <c r="EVZ212" s="275"/>
      <c r="EWA212" s="275"/>
      <c r="EWB212" s="275"/>
      <c r="EWC212" s="275"/>
      <c r="EWD212" s="275"/>
      <c r="EWE212" s="275"/>
      <c r="EWF212" s="275"/>
      <c r="EWG212" s="275"/>
      <c r="EWH212" s="275"/>
      <c r="EWI212" s="275"/>
      <c r="EWJ212" s="275"/>
      <c r="EWK212" s="275"/>
      <c r="EWL212" s="275"/>
      <c r="EWM212" s="275"/>
      <c r="EWN212" s="275"/>
      <c r="EWO212" s="275"/>
      <c r="EWP212" s="275"/>
      <c r="EWQ212" s="275"/>
      <c r="EWR212" s="275"/>
      <c r="EWS212" s="275"/>
      <c r="EWT212" s="275"/>
      <c r="EWU212" s="275"/>
      <c r="EWV212" s="275"/>
      <c r="EWW212" s="275"/>
      <c r="EWX212" s="275"/>
      <c r="EWY212" s="275"/>
      <c r="EWZ212" s="275"/>
      <c r="EXA212" s="275"/>
      <c r="EXB212" s="275"/>
      <c r="EXC212" s="275"/>
      <c r="EXD212" s="275"/>
      <c r="EXE212" s="275"/>
      <c r="EXF212" s="275"/>
      <c r="EXG212" s="275"/>
      <c r="EXH212" s="275"/>
      <c r="EXI212" s="275"/>
      <c r="EXJ212" s="275"/>
      <c r="EXK212" s="275"/>
      <c r="EXL212" s="275"/>
      <c r="EXM212" s="275"/>
      <c r="EXN212" s="275"/>
      <c r="EXO212" s="275"/>
      <c r="EXP212" s="275"/>
      <c r="EXQ212" s="275"/>
      <c r="EXR212" s="275"/>
      <c r="EXS212" s="275"/>
      <c r="EXT212" s="275"/>
      <c r="EXU212" s="275"/>
      <c r="EXV212" s="275"/>
      <c r="EXW212" s="275"/>
      <c r="EXX212" s="275"/>
      <c r="EXY212" s="275"/>
      <c r="EXZ212" s="275"/>
      <c r="EYA212" s="275"/>
      <c r="EYB212" s="275"/>
      <c r="EYC212" s="275"/>
      <c r="EYD212" s="275"/>
      <c r="EYE212" s="275"/>
      <c r="EYF212" s="275"/>
      <c r="EYG212" s="275"/>
      <c r="EYH212" s="275"/>
      <c r="EYI212" s="275"/>
      <c r="EYJ212" s="275"/>
      <c r="EYK212" s="275"/>
      <c r="EYL212" s="275"/>
      <c r="EYM212" s="275"/>
      <c r="EYN212" s="275"/>
      <c r="EYO212" s="275"/>
      <c r="EYP212" s="275"/>
      <c r="EYQ212" s="275"/>
      <c r="EYR212" s="275"/>
      <c r="EYS212" s="275"/>
      <c r="EYT212" s="275"/>
      <c r="EYU212" s="275"/>
      <c r="EYV212" s="275"/>
      <c r="EYW212" s="275"/>
      <c r="EYX212" s="275"/>
      <c r="EYY212" s="275"/>
      <c r="EYZ212" s="275"/>
      <c r="EZA212" s="275"/>
      <c r="EZB212" s="275"/>
      <c r="EZC212" s="275"/>
      <c r="EZD212" s="275"/>
      <c r="EZE212" s="275"/>
      <c r="EZF212" s="275"/>
      <c r="EZG212" s="275"/>
      <c r="EZH212" s="275"/>
      <c r="EZI212" s="275"/>
      <c r="EZJ212" s="275"/>
      <c r="EZK212" s="275"/>
      <c r="EZL212" s="275"/>
      <c r="EZM212" s="275"/>
      <c r="EZN212" s="275"/>
      <c r="EZO212" s="275"/>
      <c r="EZP212" s="275"/>
      <c r="EZQ212" s="275"/>
      <c r="EZR212" s="275"/>
      <c r="EZS212" s="275"/>
      <c r="EZT212" s="275"/>
      <c r="EZU212" s="275"/>
      <c r="EZV212" s="275"/>
      <c r="EZW212" s="275"/>
      <c r="EZX212" s="275"/>
      <c r="EZY212" s="275"/>
      <c r="EZZ212" s="275"/>
      <c r="FAA212" s="275"/>
      <c r="FAB212" s="275"/>
      <c r="FAC212" s="275"/>
      <c r="FAD212" s="275"/>
      <c r="FAE212" s="275"/>
      <c r="FAF212" s="275"/>
      <c r="FAG212" s="275"/>
      <c r="FAH212" s="275"/>
      <c r="FAI212" s="275"/>
      <c r="FAJ212" s="275"/>
      <c r="FAK212" s="275"/>
      <c r="FAL212" s="275"/>
      <c r="FAM212" s="275"/>
      <c r="FAN212" s="275"/>
      <c r="FAO212" s="275"/>
      <c r="FAP212" s="275"/>
      <c r="FAQ212" s="275"/>
      <c r="FAR212" s="275"/>
      <c r="FAS212" s="275"/>
      <c r="FAT212" s="275"/>
      <c r="FAU212" s="275"/>
      <c r="FAV212" s="275"/>
      <c r="FAW212" s="275"/>
      <c r="FAX212" s="275"/>
      <c r="FAY212" s="275"/>
      <c r="FAZ212" s="275"/>
      <c r="FBA212" s="275"/>
      <c r="FBB212" s="275"/>
      <c r="FBC212" s="275"/>
      <c r="FBD212" s="275"/>
      <c r="FBE212" s="275"/>
      <c r="FBF212" s="275"/>
      <c r="FBG212" s="275"/>
      <c r="FBH212" s="275"/>
      <c r="FBI212" s="275"/>
      <c r="FBJ212" s="275"/>
      <c r="FBK212" s="275"/>
      <c r="FBL212" s="275"/>
      <c r="FBM212" s="275"/>
      <c r="FBN212" s="275"/>
      <c r="FBO212" s="275"/>
      <c r="FBP212" s="275"/>
      <c r="FBQ212" s="275"/>
      <c r="FBR212" s="275"/>
      <c r="FBS212" s="275"/>
      <c r="FBT212" s="275"/>
      <c r="FBU212" s="275"/>
      <c r="FBV212" s="275"/>
      <c r="FBW212" s="275"/>
      <c r="FBX212" s="275"/>
      <c r="FBY212" s="275"/>
      <c r="FBZ212" s="275"/>
      <c r="FCA212" s="275"/>
      <c r="FCB212" s="275"/>
      <c r="FCC212" s="275"/>
      <c r="FCD212" s="275"/>
      <c r="FCE212" s="275"/>
      <c r="FCF212" s="275"/>
      <c r="FCG212" s="275"/>
      <c r="FCH212" s="275"/>
      <c r="FCI212" s="275"/>
      <c r="FCJ212" s="275"/>
      <c r="FCK212" s="275"/>
      <c r="FCL212" s="275"/>
      <c r="FCM212" s="275"/>
      <c r="FCN212" s="275"/>
      <c r="FCO212" s="275"/>
      <c r="FCP212" s="275"/>
      <c r="FCQ212" s="275"/>
      <c r="FCR212" s="275"/>
      <c r="FCS212" s="275"/>
      <c r="FCT212" s="275"/>
      <c r="FCU212" s="275"/>
      <c r="FCV212" s="275"/>
      <c r="FCW212" s="275"/>
      <c r="FCX212" s="275"/>
      <c r="FCY212" s="275"/>
      <c r="FCZ212" s="275"/>
      <c r="FDA212" s="275"/>
      <c r="FDB212" s="275"/>
      <c r="FDC212" s="275"/>
      <c r="FDD212" s="275"/>
      <c r="FDE212" s="275"/>
      <c r="FDF212" s="275"/>
      <c r="FDG212" s="275"/>
      <c r="FDH212" s="275"/>
      <c r="FDI212" s="275"/>
      <c r="FDJ212" s="275"/>
      <c r="FDK212" s="275"/>
      <c r="FDL212" s="275"/>
      <c r="FDM212" s="275"/>
      <c r="FDN212" s="275"/>
      <c r="FDO212" s="275"/>
      <c r="FDP212" s="275"/>
      <c r="FDQ212" s="275"/>
      <c r="FDR212" s="275"/>
      <c r="FDS212" s="275"/>
      <c r="FDT212" s="275"/>
      <c r="FDU212" s="275"/>
      <c r="FDV212" s="275"/>
      <c r="FDW212" s="275"/>
      <c r="FDX212" s="275"/>
      <c r="FDY212" s="275"/>
      <c r="FDZ212" s="275"/>
      <c r="FEA212" s="275"/>
      <c r="FEB212" s="275"/>
      <c r="FEC212" s="275"/>
      <c r="FED212" s="275"/>
      <c r="FEE212" s="275"/>
      <c r="FEF212" s="275"/>
      <c r="FEG212" s="275"/>
      <c r="FEH212" s="275"/>
      <c r="FEI212" s="275"/>
      <c r="FEJ212" s="275"/>
      <c r="FEK212" s="275"/>
      <c r="FEL212" s="275"/>
      <c r="FEM212" s="275"/>
      <c r="FEN212" s="275"/>
      <c r="FEO212" s="275"/>
      <c r="FEP212" s="275"/>
      <c r="FEQ212" s="275"/>
      <c r="FER212" s="275"/>
      <c r="FES212" s="275"/>
      <c r="FET212" s="275"/>
      <c r="FEU212" s="275"/>
      <c r="FEV212" s="275"/>
      <c r="FEW212" s="275"/>
      <c r="FEX212" s="275"/>
      <c r="FEY212" s="275"/>
      <c r="FEZ212" s="275"/>
      <c r="FFA212" s="275"/>
      <c r="FFB212" s="275"/>
      <c r="FFC212" s="275"/>
      <c r="FFD212" s="275"/>
      <c r="FFE212" s="275"/>
      <c r="FFF212" s="275"/>
      <c r="FFG212" s="275"/>
      <c r="FFH212" s="275"/>
      <c r="FFI212" s="275"/>
      <c r="FFJ212" s="275"/>
      <c r="FFK212" s="275"/>
      <c r="FFL212" s="275"/>
      <c r="FFM212" s="275"/>
      <c r="FFN212" s="275"/>
      <c r="FFO212" s="275"/>
      <c r="FFP212" s="275"/>
      <c r="FFQ212" s="275"/>
      <c r="FFR212" s="275"/>
      <c r="FFS212" s="275"/>
      <c r="FFT212" s="275"/>
      <c r="FFU212" s="275"/>
      <c r="FFV212" s="275"/>
      <c r="FFW212" s="275"/>
      <c r="FFX212" s="275"/>
      <c r="FFY212" s="275"/>
      <c r="FFZ212" s="275"/>
      <c r="FGA212" s="275"/>
      <c r="FGB212" s="275"/>
      <c r="FGC212" s="275"/>
      <c r="FGD212" s="275"/>
      <c r="FGE212" s="275"/>
      <c r="FGF212" s="275"/>
      <c r="FGG212" s="275"/>
      <c r="FGH212" s="275"/>
      <c r="FGI212" s="275"/>
      <c r="FGJ212" s="275"/>
      <c r="FGK212" s="275"/>
      <c r="FGL212" s="275"/>
      <c r="FGM212" s="275"/>
      <c r="FGN212" s="275"/>
      <c r="FGO212" s="275"/>
      <c r="FGP212" s="275"/>
      <c r="FGQ212" s="275"/>
      <c r="FGR212" s="275"/>
      <c r="FGS212" s="275"/>
      <c r="FGT212" s="275"/>
      <c r="FGU212" s="275"/>
      <c r="FGV212" s="275"/>
      <c r="FGW212" s="275"/>
      <c r="FGX212" s="275"/>
      <c r="FGY212" s="275"/>
      <c r="FGZ212" s="275"/>
      <c r="FHA212" s="275"/>
      <c r="FHB212" s="275"/>
      <c r="FHC212" s="275"/>
      <c r="FHD212" s="275"/>
      <c r="FHE212" s="275"/>
      <c r="FHF212" s="275"/>
      <c r="FHG212" s="275"/>
      <c r="FHH212" s="275"/>
      <c r="FHI212" s="275"/>
      <c r="FHJ212" s="275"/>
      <c r="FHK212" s="275"/>
      <c r="FHL212" s="275"/>
      <c r="FHM212" s="275"/>
      <c r="FHN212" s="275"/>
      <c r="FHO212" s="275"/>
      <c r="FHP212" s="275"/>
      <c r="FHQ212" s="275"/>
      <c r="FHR212" s="275"/>
      <c r="FHS212" s="275"/>
      <c r="FHT212" s="275"/>
      <c r="FHU212" s="275"/>
      <c r="FHV212" s="275"/>
      <c r="FHW212" s="275"/>
      <c r="FHX212" s="275"/>
      <c r="FHY212" s="275"/>
      <c r="FHZ212" s="275"/>
      <c r="FIA212" s="275"/>
      <c r="FIB212" s="275"/>
      <c r="FIC212" s="275"/>
      <c r="FID212" s="275"/>
      <c r="FIE212" s="275"/>
      <c r="FIF212" s="275"/>
      <c r="FIG212" s="275"/>
      <c r="FIH212" s="275"/>
      <c r="FII212" s="275"/>
      <c r="FIJ212" s="275"/>
      <c r="FIK212" s="275"/>
      <c r="FIL212" s="275"/>
      <c r="FIM212" s="275"/>
      <c r="FIN212" s="275"/>
      <c r="FIO212" s="275"/>
      <c r="FIP212" s="275"/>
      <c r="FIQ212" s="275"/>
      <c r="FIR212" s="275"/>
      <c r="FIS212" s="275"/>
      <c r="FIT212" s="275"/>
      <c r="FIU212" s="275"/>
      <c r="FIV212" s="275"/>
      <c r="FIW212" s="275"/>
      <c r="FIX212" s="275"/>
      <c r="FIY212" s="275"/>
      <c r="FIZ212" s="275"/>
      <c r="FJA212" s="275"/>
      <c r="FJB212" s="275"/>
      <c r="FJC212" s="275"/>
      <c r="FJD212" s="275"/>
      <c r="FJE212" s="275"/>
      <c r="FJF212" s="275"/>
      <c r="FJG212" s="275"/>
      <c r="FJH212" s="275"/>
      <c r="FJI212" s="275"/>
      <c r="FJJ212" s="275"/>
      <c r="FJK212" s="275"/>
      <c r="FJL212" s="275"/>
      <c r="FJM212" s="275"/>
      <c r="FJN212" s="275"/>
      <c r="FJO212" s="275"/>
      <c r="FJP212" s="275"/>
      <c r="FJQ212" s="275"/>
      <c r="FJR212" s="275"/>
      <c r="FJS212" s="275"/>
      <c r="FJT212" s="275"/>
      <c r="FJU212" s="275"/>
      <c r="FJV212" s="275"/>
      <c r="FJW212" s="275"/>
      <c r="FJX212" s="275"/>
      <c r="FJY212" s="275"/>
      <c r="FJZ212" s="275"/>
      <c r="FKA212" s="275"/>
      <c r="FKB212" s="275"/>
      <c r="FKC212" s="275"/>
      <c r="FKD212" s="275"/>
      <c r="FKE212" s="275"/>
      <c r="FKF212" s="275"/>
      <c r="FKG212" s="275"/>
      <c r="FKH212" s="275"/>
      <c r="FKI212" s="275"/>
      <c r="FKJ212" s="275"/>
      <c r="FKK212" s="275"/>
      <c r="FKL212" s="275"/>
      <c r="FKM212" s="275"/>
      <c r="FKN212" s="275"/>
      <c r="FKO212" s="275"/>
      <c r="FKP212" s="275"/>
      <c r="FKQ212" s="275"/>
      <c r="FKR212" s="275"/>
      <c r="FKS212" s="275"/>
      <c r="FKT212" s="275"/>
      <c r="FKU212" s="275"/>
      <c r="FKV212" s="275"/>
      <c r="FKW212" s="275"/>
      <c r="FKX212" s="275"/>
      <c r="FKY212" s="275"/>
      <c r="FKZ212" s="275"/>
      <c r="FLA212" s="275"/>
      <c r="FLB212" s="275"/>
      <c r="FLC212" s="275"/>
      <c r="FLD212" s="275"/>
      <c r="FLE212" s="275"/>
      <c r="FLF212" s="275"/>
      <c r="FLG212" s="275"/>
      <c r="FLH212" s="275"/>
      <c r="FLI212" s="275"/>
      <c r="FLJ212" s="275"/>
      <c r="FLK212" s="275"/>
      <c r="FLL212" s="275"/>
      <c r="FLM212" s="275"/>
      <c r="FLN212" s="275"/>
      <c r="FLO212" s="275"/>
      <c r="FLP212" s="275"/>
      <c r="FLQ212" s="275"/>
      <c r="FLR212" s="275"/>
      <c r="FLS212" s="275"/>
      <c r="FLT212" s="275"/>
      <c r="FLU212" s="275"/>
      <c r="FLV212" s="275"/>
      <c r="FLW212" s="275"/>
      <c r="FLX212" s="275"/>
      <c r="FLY212" s="275"/>
      <c r="FLZ212" s="275"/>
      <c r="FMA212" s="275"/>
      <c r="FMB212" s="275"/>
      <c r="FMC212" s="275"/>
      <c r="FMD212" s="275"/>
      <c r="FME212" s="275"/>
      <c r="FMF212" s="275"/>
      <c r="FMG212" s="275"/>
      <c r="FMH212" s="275"/>
      <c r="FMI212" s="275"/>
      <c r="FMJ212" s="275"/>
      <c r="FMK212" s="275"/>
      <c r="FML212" s="275"/>
      <c r="FMM212" s="275"/>
      <c r="FMN212" s="275"/>
      <c r="FMO212" s="275"/>
      <c r="FMP212" s="275"/>
      <c r="FMQ212" s="275"/>
      <c r="FMR212" s="275"/>
      <c r="FMS212" s="275"/>
      <c r="FMT212" s="275"/>
      <c r="FMU212" s="275"/>
      <c r="FMV212" s="275"/>
      <c r="FMW212" s="275"/>
      <c r="FMX212" s="275"/>
      <c r="FMY212" s="275"/>
      <c r="FMZ212" s="275"/>
      <c r="FNA212" s="275"/>
      <c r="FNB212" s="275"/>
      <c r="FNC212" s="275"/>
      <c r="FND212" s="275"/>
      <c r="FNE212" s="275"/>
      <c r="FNF212" s="275"/>
      <c r="FNG212" s="275"/>
      <c r="FNH212" s="275"/>
      <c r="FNI212" s="275"/>
      <c r="FNJ212" s="275"/>
      <c r="FNK212" s="275"/>
      <c r="FNL212" s="275"/>
      <c r="FNM212" s="275"/>
      <c r="FNN212" s="275"/>
      <c r="FNO212" s="275"/>
      <c r="FNP212" s="275"/>
      <c r="FNQ212" s="275"/>
      <c r="FNR212" s="275"/>
      <c r="FNS212" s="275"/>
      <c r="FNT212" s="275"/>
      <c r="FNU212" s="275"/>
      <c r="FNV212" s="275"/>
      <c r="FNW212" s="275"/>
      <c r="FNX212" s="275"/>
      <c r="FNY212" s="275"/>
      <c r="FNZ212" s="275"/>
      <c r="FOA212" s="275"/>
      <c r="FOB212" s="275"/>
      <c r="FOC212" s="275"/>
      <c r="FOD212" s="275"/>
      <c r="FOE212" s="275"/>
      <c r="FOF212" s="275"/>
      <c r="FOG212" s="275"/>
      <c r="FOH212" s="275"/>
      <c r="FOI212" s="275"/>
      <c r="FOJ212" s="275"/>
      <c r="FOK212" s="275"/>
      <c r="FOL212" s="275"/>
      <c r="FOM212" s="275"/>
      <c r="FON212" s="275"/>
      <c r="FOO212" s="275"/>
      <c r="FOP212" s="275"/>
      <c r="FOQ212" s="275"/>
      <c r="FOR212" s="275"/>
      <c r="FOS212" s="275"/>
      <c r="FOT212" s="275"/>
      <c r="FOU212" s="275"/>
      <c r="FOV212" s="275"/>
      <c r="FOW212" s="275"/>
      <c r="FOX212" s="275"/>
      <c r="FOY212" s="275"/>
      <c r="FOZ212" s="275"/>
      <c r="FPA212" s="275"/>
      <c r="FPB212" s="275"/>
      <c r="FPC212" s="275"/>
      <c r="FPD212" s="275"/>
      <c r="FPE212" s="275"/>
      <c r="FPF212" s="275"/>
      <c r="FPG212" s="275"/>
      <c r="FPH212" s="275"/>
      <c r="FPI212" s="275"/>
      <c r="FPJ212" s="275"/>
      <c r="FPK212" s="275"/>
      <c r="FPL212" s="275"/>
      <c r="FPM212" s="275"/>
      <c r="FPN212" s="275"/>
      <c r="FPO212" s="275"/>
      <c r="FPP212" s="275"/>
      <c r="FPQ212" s="275"/>
      <c r="FPR212" s="275"/>
      <c r="FPS212" s="275"/>
      <c r="FPT212" s="275"/>
      <c r="FPU212" s="275"/>
      <c r="FPV212" s="275"/>
      <c r="FPW212" s="275"/>
      <c r="FPX212" s="275"/>
      <c r="FPY212" s="275"/>
      <c r="FPZ212" s="275"/>
      <c r="FQA212" s="275"/>
      <c r="FQB212" s="275"/>
      <c r="FQC212" s="275"/>
      <c r="FQD212" s="275"/>
      <c r="FQE212" s="275"/>
      <c r="FQF212" s="275"/>
      <c r="FQG212" s="275"/>
      <c r="FQH212" s="275"/>
      <c r="FQI212" s="275"/>
      <c r="FQJ212" s="275"/>
      <c r="FQK212" s="275"/>
      <c r="FQL212" s="275"/>
      <c r="FQM212" s="275"/>
      <c r="FQN212" s="275"/>
      <c r="FQO212" s="275"/>
      <c r="FQP212" s="275"/>
      <c r="FQQ212" s="275"/>
      <c r="FQR212" s="275"/>
      <c r="FQS212" s="275"/>
      <c r="FQT212" s="275"/>
      <c r="FQU212" s="275"/>
      <c r="FQV212" s="275"/>
      <c r="FQW212" s="275"/>
      <c r="FQX212" s="275"/>
      <c r="FQY212" s="275"/>
      <c r="FQZ212" s="275"/>
      <c r="FRA212" s="275"/>
      <c r="FRB212" s="275"/>
      <c r="FRC212" s="275"/>
      <c r="FRD212" s="275"/>
      <c r="FRE212" s="275"/>
      <c r="FRF212" s="275"/>
      <c r="FRG212" s="275"/>
      <c r="FRH212" s="275"/>
      <c r="FRI212" s="275"/>
      <c r="FRJ212" s="275"/>
      <c r="FRK212" s="275"/>
      <c r="FRL212" s="275"/>
      <c r="FRM212" s="275"/>
      <c r="FRN212" s="275"/>
      <c r="FRO212" s="275"/>
      <c r="FRP212" s="275"/>
      <c r="FRQ212" s="275"/>
      <c r="FRR212" s="275"/>
      <c r="FRS212" s="275"/>
      <c r="FRT212" s="275"/>
      <c r="FRU212" s="275"/>
      <c r="FRV212" s="275"/>
      <c r="FRW212" s="275"/>
      <c r="FRX212" s="275"/>
      <c r="FRY212" s="275"/>
      <c r="FRZ212" s="275"/>
      <c r="FSA212" s="275"/>
      <c r="FSB212" s="275"/>
      <c r="FSC212" s="275"/>
      <c r="FSD212" s="275"/>
      <c r="FSE212" s="275"/>
      <c r="FSF212" s="275"/>
      <c r="FSG212" s="275"/>
      <c r="FSH212" s="275"/>
      <c r="FSI212" s="275"/>
      <c r="FSJ212" s="275"/>
      <c r="FSK212" s="275"/>
      <c r="FSL212" s="275"/>
      <c r="FSM212" s="275"/>
      <c r="FSN212" s="275"/>
      <c r="FSO212" s="275"/>
      <c r="FSP212" s="275"/>
      <c r="FSQ212" s="275"/>
      <c r="FSR212" s="275"/>
      <c r="FSS212" s="275"/>
      <c r="FST212" s="275"/>
      <c r="FSU212" s="275"/>
      <c r="FSV212" s="275"/>
      <c r="FSW212" s="275"/>
      <c r="FSX212" s="275"/>
      <c r="FSY212" s="275"/>
      <c r="FSZ212" s="275"/>
      <c r="FTA212" s="275"/>
    </row>
    <row r="213" spans="1:4577" s="823" customFormat="1" ht="15.75">
      <c r="A213" s="790"/>
      <c r="B213" s="812"/>
      <c r="C213" s="811"/>
      <c r="D213" s="792"/>
      <c r="E213" s="789"/>
      <c r="F213" s="788"/>
      <c r="G213" s="788"/>
      <c r="H213" s="766"/>
      <c r="I213" s="766"/>
      <c r="J213" s="780"/>
      <c r="K213" s="764"/>
      <c r="L213" s="189"/>
      <c r="M213" s="189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  <c r="AE213" s="275"/>
      <c r="AF213" s="275"/>
      <c r="AG213" s="275"/>
      <c r="AH213" s="275"/>
      <c r="AI213" s="275"/>
      <c r="AJ213" s="275"/>
      <c r="AK213" s="275"/>
      <c r="AL213" s="275"/>
      <c r="AM213" s="275"/>
      <c r="AN213" s="275"/>
      <c r="AO213" s="275"/>
      <c r="AP213" s="275"/>
      <c r="AQ213" s="275"/>
      <c r="AR213" s="275"/>
      <c r="AS213" s="275"/>
      <c r="AT213" s="275"/>
      <c r="AU213" s="275"/>
      <c r="AV213" s="275"/>
      <c r="AW213" s="275"/>
      <c r="AX213" s="275"/>
      <c r="AY213" s="275"/>
      <c r="AZ213" s="275"/>
      <c r="BA213" s="275"/>
      <c r="BB213" s="275"/>
      <c r="BC213" s="275"/>
      <c r="BD213" s="275"/>
      <c r="BE213" s="275"/>
      <c r="BF213" s="275"/>
      <c r="BG213" s="275"/>
      <c r="BH213" s="275"/>
      <c r="BI213" s="275"/>
      <c r="BJ213" s="275"/>
      <c r="BK213" s="275"/>
      <c r="BL213" s="275"/>
      <c r="BM213" s="275"/>
      <c r="BN213" s="275"/>
      <c r="BO213" s="275"/>
      <c r="BP213" s="275"/>
      <c r="BQ213" s="275"/>
      <c r="BR213" s="275"/>
      <c r="BS213" s="275"/>
      <c r="BT213" s="275"/>
      <c r="BU213" s="275"/>
      <c r="BV213" s="275"/>
      <c r="BW213" s="275"/>
      <c r="BX213" s="275"/>
      <c r="BY213" s="275"/>
      <c r="BZ213" s="275"/>
      <c r="CA213" s="275"/>
      <c r="CB213" s="275"/>
      <c r="CC213" s="275"/>
      <c r="CD213" s="275"/>
      <c r="CE213" s="275"/>
      <c r="CF213" s="275"/>
      <c r="CG213" s="275"/>
      <c r="CH213" s="275"/>
      <c r="CI213" s="275"/>
      <c r="CJ213" s="275"/>
      <c r="CK213" s="275"/>
      <c r="CL213" s="275"/>
      <c r="CM213" s="275"/>
      <c r="CN213" s="275"/>
      <c r="CO213" s="275"/>
      <c r="CP213" s="275"/>
      <c r="CQ213" s="275"/>
      <c r="CR213" s="275"/>
      <c r="CS213" s="275"/>
      <c r="CT213" s="275"/>
      <c r="CU213" s="275"/>
      <c r="CV213" s="275"/>
      <c r="CW213" s="275"/>
      <c r="CX213" s="275"/>
      <c r="CY213" s="275"/>
      <c r="CZ213" s="275"/>
      <c r="DA213" s="275"/>
      <c r="DB213" s="275"/>
      <c r="DC213" s="275"/>
      <c r="DD213" s="275"/>
      <c r="DE213" s="275"/>
      <c r="DF213" s="275"/>
      <c r="DG213" s="275"/>
      <c r="DH213" s="275"/>
      <c r="DI213" s="275"/>
      <c r="DJ213" s="275"/>
      <c r="DK213" s="275"/>
      <c r="DL213" s="275"/>
      <c r="DM213" s="275"/>
      <c r="DN213" s="275"/>
      <c r="DO213" s="275"/>
      <c r="DP213" s="275"/>
      <c r="DQ213" s="275"/>
      <c r="DR213" s="275"/>
      <c r="DS213" s="275"/>
      <c r="DT213" s="275"/>
      <c r="DU213" s="275"/>
      <c r="DV213" s="275"/>
      <c r="DW213" s="275"/>
      <c r="DX213" s="275"/>
      <c r="DY213" s="275"/>
      <c r="DZ213" s="275"/>
      <c r="EA213" s="275"/>
      <c r="EB213" s="275"/>
      <c r="EC213" s="275"/>
      <c r="ED213" s="275"/>
      <c r="EE213" s="275"/>
      <c r="EF213" s="275"/>
      <c r="EG213" s="275"/>
      <c r="EH213" s="275"/>
      <c r="EI213" s="275"/>
      <c r="EJ213" s="275"/>
      <c r="EK213" s="275"/>
      <c r="EL213" s="275"/>
      <c r="EM213" s="275"/>
      <c r="EN213" s="275"/>
      <c r="EO213" s="275"/>
      <c r="EP213" s="275"/>
      <c r="EQ213" s="275"/>
      <c r="ER213" s="275"/>
      <c r="ES213" s="275"/>
      <c r="ET213" s="275"/>
      <c r="EU213" s="275"/>
      <c r="EV213" s="275"/>
      <c r="EW213" s="275"/>
      <c r="EX213" s="275"/>
      <c r="EY213" s="275"/>
      <c r="EZ213" s="275"/>
      <c r="FA213" s="275"/>
      <c r="FB213" s="275"/>
      <c r="FC213" s="275"/>
      <c r="FD213" s="275"/>
      <c r="FE213" s="275"/>
      <c r="FF213" s="275"/>
      <c r="FG213" s="275"/>
      <c r="FH213" s="275"/>
      <c r="FI213" s="275"/>
      <c r="FJ213" s="275"/>
      <c r="FK213" s="275"/>
      <c r="FL213" s="275"/>
      <c r="FM213" s="275"/>
      <c r="FN213" s="275"/>
      <c r="FO213" s="275"/>
      <c r="FP213" s="275"/>
      <c r="FQ213" s="275"/>
      <c r="FR213" s="275"/>
      <c r="FS213" s="275"/>
      <c r="FT213" s="275"/>
      <c r="FU213" s="275"/>
      <c r="FV213" s="275"/>
      <c r="FW213" s="275"/>
      <c r="FX213" s="275"/>
      <c r="FY213" s="275"/>
      <c r="FZ213" s="275"/>
      <c r="GA213" s="275"/>
      <c r="GB213" s="275"/>
      <c r="GC213" s="275"/>
      <c r="GD213" s="275"/>
      <c r="GE213" s="275"/>
      <c r="GF213" s="275"/>
      <c r="GG213" s="275"/>
      <c r="GH213" s="275"/>
      <c r="GI213" s="275"/>
      <c r="GJ213" s="275"/>
      <c r="GK213" s="275"/>
      <c r="GL213" s="275"/>
      <c r="GM213" s="275"/>
      <c r="GN213" s="275"/>
      <c r="GO213" s="275"/>
      <c r="GP213" s="275"/>
      <c r="GQ213" s="275"/>
      <c r="GR213" s="275"/>
      <c r="GS213" s="275"/>
      <c r="GT213" s="275"/>
      <c r="GU213" s="275"/>
      <c r="GV213" s="275"/>
      <c r="GW213" s="275"/>
      <c r="GX213" s="275"/>
      <c r="GY213" s="275"/>
      <c r="GZ213" s="275"/>
      <c r="HA213" s="275"/>
      <c r="HB213" s="275"/>
      <c r="HC213" s="275"/>
      <c r="HD213" s="275"/>
      <c r="HE213" s="275"/>
      <c r="HF213" s="275"/>
      <c r="HG213" s="275"/>
      <c r="HH213" s="275"/>
      <c r="HI213" s="275"/>
      <c r="HJ213" s="275"/>
      <c r="HK213" s="275"/>
      <c r="HL213" s="275"/>
      <c r="HM213" s="275"/>
      <c r="HN213" s="275"/>
      <c r="HO213" s="275"/>
      <c r="HP213" s="275"/>
      <c r="HQ213" s="275"/>
      <c r="HR213" s="275"/>
      <c r="HS213" s="275"/>
      <c r="HT213" s="275"/>
      <c r="HU213" s="275"/>
      <c r="HV213" s="275"/>
      <c r="HW213" s="275"/>
      <c r="HX213" s="275"/>
      <c r="HY213" s="275"/>
      <c r="HZ213" s="275"/>
      <c r="IA213" s="275"/>
      <c r="IB213" s="275"/>
      <c r="IC213" s="275"/>
      <c r="ID213" s="275"/>
      <c r="IE213" s="275"/>
      <c r="IF213" s="275"/>
      <c r="IG213" s="275"/>
      <c r="IH213" s="275"/>
      <c r="II213" s="275"/>
      <c r="IJ213" s="275"/>
      <c r="IK213" s="275"/>
      <c r="IL213" s="275"/>
      <c r="IM213" s="275"/>
      <c r="IN213" s="275"/>
      <c r="IO213" s="275"/>
      <c r="IP213" s="275"/>
      <c r="IQ213" s="275"/>
      <c r="IR213" s="275"/>
      <c r="IS213" s="275"/>
      <c r="IT213" s="275"/>
      <c r="IU213" s="275"/>
      <c r="IV213" s="275"/>
      <c r="IW213" s="275"/>
      <c r="IX213" s="275"/>
      <c r="IY213" s="275"/>
      <c r="IZ213" s="275"/>
      <c r="JA213" s="275"/>
      <c r="JB213" s="275"/>
      <c r="JC213" s="275"/>
      <c r="JD213" s="275"/>
      <c r="JE213" s="275"/>
      <c r="JF213" s="275"/>
      <c r="JG213" s="275"/>
      <c r="JH213" s="275"/>
      <c r="JI213" s="275"/>
      <c r="JJ213" s="275"/>
      <c r="JK213" s="275"/>
      <c r="JL213" s="275"/>
      <c r="JM213" s="275"/>
      <c r="JN213" s="275"/>
      <c r="JO213" s="275"/>
      <c r="JP213" s="275"/>
      <c r="JQ213" s="275"/>
      <c r="JR213" s="275"/>
      <c r="JS213" s="275"/>
      <c r="JT213" s="275"/>
      <c r="JU213" s="275"/>
      <c r="JV213" s="275"/>
      <c r="JW213" s="275"/>
      <c r="JX213" s="275"/>
      <c r="JY213" s="275"/>
      <c r="JZ213" s="275"/>
      <c r="KA213" s="275"/>
      <c r="KB213" s="275"/>
      <c r="KC213" s="275"/>
      <c r="KD213" s="275"/>
      <c r="KE213" s="275"/>
      <c r="KF213" s="275"/>
      <c r="KG213" s="275"/>
      <c r="KH213" s="275"/>
      <c r="KI213" s="275"/>
      <c r="KJ213" s="275"/>
      <c r="KK213" s="275"/>
      <c r="KL213" s="275"/>
      <c r="KM213" s="275"/>
      <c r="KN213" s="275"/>
      <c r="KO213" s="275"/>
      <c r="KP213" s="275"/>
      <c r="KQ213" s="275"/>
      <c r="KR213" s="275"/>
      <c r="KS213" s="275"/>
      <c r="KT213" s="275"/>
      <c r="KU213" s="275"/>
      <c r="KV213" s="275"/>
      <c r="KW213" s="275"/>
      <c r="KX213" s="275"/>
      <c r="KY213" s="275"/>
      <c r="KZ213" s="275"/>
      <c r="LA213" s="275"/>
      <c r="LB213" s="275"/>
      <c r="LC213" s="275"/>
      <c r="LD213" s="275"/>
      <c r="LE213" s="275"/>
      <c r="LF213" s="275"/>
      <c r="LG213" s="275"/>
      <c r="LH213" s="275"/>
      <c r="LI213" s="275"/>
      <c r="LJ213" s="275"/>
      <c r="LK213" s="275"/>
      <c r="LL213" s="275"/>
      <c r="LM213" s="275"/>
      <c r="LN213" s="275"/>
      <c r="LO213" s="275"/>
      <c r="LP213" s="275"/>
      <c r="LQ213" s="275"/>
      <c r="LR213" s="275"/>
      <c r="LS213" s="275"/>
      <c r="LT213" s="275"/>
      <c r="LU213" s="275"/>
      <c r="LV213" s="275"/>
      <c r="LW213" s="275"/>
      <c r="LX213" s="275"/>
      <c r="LY213" s="275"/>
      <c r="LZ213" s="275"/>
      <c r="MA213" s="275"/>
      <c r="MB213" s="275"/>
      <c r="MC213" s="275"/>
      <c r="MD213" s="275"/>
      <c r="ME213" s="275"/>
      <c r="MF213" s="275"/>
      <c r="MG213" s="275"/>
      <c r="MH213" s="275"/>
      <c r="MI213" s="275"/>
      <c r="MJ213" s="275"/>
      <c r="MK213" s="275"/>
      <c r="ML213" s="275"/>
      <c r="MM213" s="275"/>
      <c r="MN213" s="275"/>
      <c r="MO213" s="275"/>
      <c r="MP213" s="275"/>
      <c r="MQ213" s="275"/>
      <c r="MR213" s="275"/>
      <c r="MS213" s="275"/>
      <c r="MT213" s="275"/>
      <c r="MU213" s="275"/>
      <c r="MV213" s="275"/>
      <c r="MW213" s="275"/>
      <c r="MX213" s="275"/>
      <c r="MY213" s="275"/>
      <c r="MZ213" s="275"/>
      <c r="NA213" s="275"/>
      <c r="NB213" s="275"/>
      <c r="NC213" s="275"/>
      <c r="ND213" s="275"/>
      <c r="NE213" s="275"/>
      <c r="NF213" s="275"/>
      <c r="NG213" s="275"/>
      <c r="NH213" s="275"/>
      <c r="NI213" s="275"/>
      <c r="NJ213" s="275"/>
      <c r="NK213" s="275"/>
      <c r="NL213" s="275"/>
      <c r="NM213" s="275"/>
      <c r="NN213" s="275"/>
      <c r="NO213" s="275"/>
      <c r="NP213" s="275"/>
      <c r="NQ213" s="275"/>
      <c r="NR213" s="275"/>
      <c r="NS213" s="275"/>
      <c r="NT213" s="275"/>
      <c r="NU213" s="275"/>
      <c r="NV213" s="275"/>
      <c r="NW213" s="275"/>
      <c r="NX213" s="275"/>
      <c r="NY213" s="275"/>
      <c r="NZ213" s="275"/>
      <c r="OA213" s="275"/>
      <c r="OB213" s="275"/>
      <c r="OC213" s="275"/>
      <c r="OD213" s="275"/>
      <c r="OE213" s="275"/>
      <c r="OF213" s="275"/>
      <c r="OG213" s="275"/>
      <c r="OH213" s="275"/>
      <c r="OI213" s="275"/>
      <c r="OJ213" s="275"/>
      <c r="OK213" s="275"/>
      <c r="OL213" s="275"/>
      <c r="OM213" s="275"/>
      <c r="ON213" s="275"/>
      <c r="OO213" s="275"/>
      <c r="OP213" s="275"/>
      <c r="OQ213" s="275"/>
      <c r="OR213" s="275"/>
      <c r="OS213" s="275"/>
      <c r="OT213" s="275"/>
      <c r="OU213" s="275"/>
      <c r="OV213" s="275"/>
      <c r="OW213" s="275"/>
      <c r="OX213" s="275"/>
      <c r="OY213" s="275"/>
      <c r="OZ213" s="275"/>
      <c r="PA213" s="275"/>
      <c r="PB213" s="275"/>
      <c r="PC213" s="275"/>
      <c r="PD213" s="275"/>
      <c r="PE213" s="275"/>
      <c r="PF213" s="275"/>
      <c r="PG213" s="275"/>
      <c r="PH213" s="275"/>
      <c r="PI213" s="275"/>
      <c r="PJ213" s="275"/>
      <c r="PK213" s="275"/>
      <c r="PL213" s="275"/>
      <c r="PM213" s="275"/>
      <c r="PN213" s="275"/>
      <c r="PO213" s="275"/>
      <c r="PP213" s="275"/>
      <c r="PQ213" s="275"/>
      <c r="PR213" s="275"/>
      <c r="PS213" s="275"/>
      <c r="PT213" s="275"/>
      <c r="PU213" s="275"/>
      <c r="PV213" s="275"/>
      <c r="PW213" s="275"/>
      <c r="PX213" s="275"/>
      <c r="PY213" s="275"/>
      <c r="PZ213" s="275"/>
      <c r="QA213" s="275"/>
      <c r="QB213" s="275"/>
      <c r="QC213" s="275"/>
      <c r="QD213" s="275"/>
      <c r="QE213" s="275"/>
      <c r="QF213" s="275"/>
      <c r="QG213" s="275"/>
      <c r="QH213" s="275"/>
      <c r="QI213" s="275"/>
      <c r="QJ213" s="275"/>
      <c r="QK213" s="275"/>
      <c r="QL213" s="275"/>
      <c r="QM213" s="275"/>
      <c r="QN213" s="275"/>
      <c r="QO213" s="275"/>
      <c r="QP213" s="275"/>
      <c r="QQ213" s="275"/>
      <c r="QR213" s="275"/>
      <c r="QS213" s="275"/>
      <c r="QT213" s="275"/>
      <c r="QU213" s="275"/>
      <c r="QV213" s="275"/>
      <c r="QW213" s="275"/>
      <c r="QX213" s="275"/>
      <c r="QY213" s="275"/>
      <c r="QZ213" s="275"/>
      <c r="RA213" s="275"/>
      <c r="RB213" s="275"/>
      <c r="RC213" s="275"/>
      <c r="RD213" s="275"/>
      <c r="RE213" s="275"/>
      <c r="RF213" s="275"/>
      <c r="RG213" s="275"/>
      <c r="RH213" s="275"/>
      <c r="RI213" s="275"/>
      <c r="RJ213" s="275"/>
      <c r="RK213" s="275"/>
      <c r="RL213" s="275"/>
      <c r="RM213" s="275"/>
      <c r="RN213" s="275"/>
      <c r="RO213" s="275"/>
      <c r="RP213" s="275"/>
      <c r="RQ213" s="275"/>
      <c r="RR213" s="275"/>
      <c r="RS213" s="275"/>
      <c r="RT213" s="275"/>
      <c r="RU213" s="275"/>
      <c r="RV213" s="275"/>
      <c r="RW213" s="275"/>
      <c r="RX213" s="275"/>
      <c r="RY213" s="275"/>
      <c r="RZ213" s="275"/>
      <c r="SA213" s="275"/>
      <c r="SB213" s="275"/>
      <c r="SC213" s="275"/>
      <c r="SD213" s="275"/>
      <c r="SE213" s="275"/>
      <c r="SF213" s="275"/>
      <c r="SG213" s="275"/>
      <c r="SH213" s="275"/>
      <c r="SI213" s="275"/>
      <c r="SJ213" s="275"/>
      <c r="SK213" s="275"/>
      <c r="SL213" s="275"/>
      <c r="SM213" s="275"/>
      <c r="SN213" s="275"/>
      <c r="SO213" s="275"/>
      <c r="SP213" s="275"/>
      <c r="SQ213" s="275"/>
      <c r="SR213" s="275"/>
      <c r="SS213" s="275"/>
      <c r="ST213" s="275"/>
      <c r="SU213" s="275"/>
      <c r="SV213" s="275"/>
      <c r="SW213" s="275"/>
      <c r="SX213" s="275"/>
      <c r="SY213" s="275"/>
      <c r="SZ213" s="275"/>
      <c r="TA213" s="275"/>
      <c r="TB213" s="275"/>
      <c r="TC213" s="275"/>
      <c r="TD213" s="275"/>
      <c r="TE213" s="275"/>
      <c r="TF213" s="275"/>
      <c r="TG213" s="275"/>
      <c r="TH213" s="275"/>
      <c r="TI213" s="275"/>
      <c r="TJ213" s="275"/>
      <c r="TK213" s="275"/>
      <c r="TL213" s="275"/>
      <c r="TM213" s="275"/>
      <c r="TN213" s="275"/>
      <c r="TO213" s="275"/>
      <c r="TP213" s="275"/>
      <c r="TQ213" s="275"/>
      <c r="TR213" s="275"/>
      <c r="TS213" s="275"/>
      <c r="TT213" s="275"/>
      <c r="TU213" s="275"/>
      <c r="TV213" s="275"/>
      <c r="TW213" s="275"/>
      <c r="TX213" s="275"/>
      <c r="TY213" s="275"/>
      <c r="TZ213" s="275"/>
      <c r="UA213" s="275"/>
      <c r="UB213" s="275"/>
      <c r="UC213" s="275"/>
      <c r="UD213" s="275"/>
      <c r="UE213" s="275"/>
      <c r="UF213" s="275"/>
      <c r="UG213" s="275"/>
      <c r="UH213" s="275"/>
      <c r="UI213" s="275"/>
      <c r="UJ213" s="275"/>
      <c r="UK213" s="275"/>
      <c r="UL213" s="275"/>
      <c r="UM213" s="275"/>
      <c r="UN213" s="275"/>
      <c r="UO213" s="275"/>
      <c r="UP213" s="275"/>
      <c r="UQ213" s="275"/>
      <c r="UR213" s="275"/>
      <c r="US213" s="275"/>
      <c r="UT213" s="275"/>
      <c r="UU213" s="275"/>
      <c r="UV213" s="275"/>
      <c r="UW213" s="275"/>
      <c r="UX213" s="275"/>
      <c r="UY213" s="275"/>
      <c r="UZ213" s="275"/>
      <c r="VA213" s="275"/>
      <c r="VB213" s="275"/>
      <c r="VC213" s="275"/>
      <c r="VD213" s="275"/>
      <c r="VE213" s="275"/>
      <c r="VF213" s="275"/>
      <c r="VG213" s="275"/>
      <c r="VH213" s="275"/>
      <c r="VI213" s="275"/>
      <c r="VJ213" s="275"/>
      <c r="VK213" s="275"/>
      <c r="VL213" s="275"/>
      <c r="VM213" s="275"/>
      <c r="VN213" s="275"/>
      <c r="VO213" s="275"/>
      <c r="VP213" s="275"/>
      <c r="VQ213" s="275"/>
      <c r="VR213" s="275"/>
      <c r="VS213" s="275"/>
      <c r="VT213" s="275"/>
      <c r="VU213" s="275"/>
      <c r="VV213" s="275"/>
      <c r="VW213" s="275"/>
      <c r="VX213" s="275"/>
      <c r="VY213" s="275"/>
      <c r="VZ213" s="275"/>
      <c r="WA213" s="275"/>
      <c r="WB213" s="275"/>
      <c r="WC213" s="275"/>
      <c r="WD213" s="275"/>
      <c r="WE213" s="275"/>
      <c r="WF213" s="275"/>
      <c r="WG213" s="275"/>
      <c r="WH213" s="275"/>
      <c r="WI213" s="275"/>
      <c r="WJ213" s="275"/>
      <c r="WK213" s="275"/>
      <c r="WL213" s="275"/>
      <c r="WM213" s="275"/>
      <c r="WN213" s="275"/>
      <c r="WO213" s="275"/>
      <c r="WP213" s="275"/>
      <c r="WQ213" s="275"/>
      <c r="WR213" s="275"/>
      <c r="WS213" s="275"/>
      <c r="WT213" s="275"/>
      <c r="WU213" s="275"/>
      <c r="WV213" s="275"/>
      <c r="WW213" s="275"/>
      <c r="WX213" s="275"/>
      <c r="WY213" s="275"/>
      <c r="WZ213" s="275"/>
      <c r="XA213" s="275"/>
      <c r="XB213" s="275"/>
      <c r="XC213" s="275"/>
      <c r="XD213" s="275"/>
      <c r="XE213" s="275"/>
      <c r="XF213" s="275"/>
      <c r="XG213" s="275"/>
      <c r="XH213" s="275"/>
      <c r="XI213" s="275"/>
      <c r="XJ213" s="275"/>
      <c r="XK213" s="275"/>
      <c r="XL213" s="275"/>
      <c r="XM213" s="275"/>
      <c r="XN213" s="275"/>
      <c r="XO213" s="275"/>
      <c r="XP213" s="275"/>
      <c r="XQ213" s="275"/>
      <c r="XR213" s="275"/>
      <c r="XS213" s="275"/>
      <c r="XT213" s="275"/>
      <c r="XU213" s="275"/>
      <c r="XV213" s="275"/>
      <c r="XW213" s="275"/>
      <c r="XX213" s="275"/>
      <c r="XY213" s="275"/>
      <c r="XZ213" s="275"/>
      <c r="YA213" s="275"/>
      <c r="YB213" s="275"/>
      <c r="YC213" s="275"/>
      <c r="YD213" s="275"/>
      <c r="YE213" s="275"/>
      <c r="YF213" s="275"/>
      <c r="YG213" s="275"/>
      <c r="YH213" s="275"/>
      <c r="YI213" s="275"/>
      <c r="YJ213" s="275"/>
      <c r="YK213" s="275"/>
      <c r="YL213" s="275"/>
      <c r="YM213" s="275"/>
      <c r="YN213" s="275"/>
      <c r="YO213" s="275"/>
      <c r="YP213" s="275"/>
      <c r="YQ213" s="275"/>
      <c r="YR213" s="275"/>
      <c r="YS213" s="275"/>
      <c r="YT213" s="275"/>
      <c r="YU213" s="275"/>
      <c r="YV213" s="275"/>
      <c r="YW213" s="275"/>
      <c r="YX213" s="275"/>
      <c r="YY213" s="275"/>
      <c r="YZ213" s="275"/>
      <c r="ZA213" s="275"/>
      <c r="ZB213" s="275"/>
      <c r="ZC213" s="275"/>
      <c r="ZD213" s="275"/>
      <c r="ZE213" s="275"/>
      <c r="ZF213" s="275"/>
      <c r="ZG213" s="275"/>
      <c r="ZH213" s="275"/>
      <c r="ZI213" s="275"/>
      <c r="ZJ213" s="275"/>
      <c r="ZK213" s="275"/>
      <c r="ZL213" s="275"/>
      <c r="ZM213" s="275"/>
      <c r="ZN213" s="275"/>
      <c r="ZO213" s="275"/>
      <c r="ZP213" s="275"/>
      <c r="ZQ213" s="275"/>
      <c r="ZR213" s="275"/>
      <c r="ZS213" s="275"/>
      <c r="ZT213" s="275"/>
      <c r="ZU213" s="275"/>
      <c r="ZV213" s="275"/>
      <c r="ZW213" s="275"/>
      <c r="ZX213" s="275"/>
      <c r="ZY213" s="275"/>
      <c r="ZZ213" s="275"/>
      <c r="AAA213" s="275"/>
      <c r="AAB213" s="275"/>
      <c r="AAC213" s="275"/>
      <c r="AAD213" s="275"/>
      <c r="AAE213" s="275"/>
      <c r="AAF213" s="275"/>
      <c r="AAG213" s="275"/>
      <c r="AAH213" s="275"/>
      <c r="AAI213" s="275"/>
      <c r="AAJ213" s="275"/>
      <c r="AAK213" s="275"/>
      <c r="AAL213" s="275"/>
      <c r="AAM213" s="275"/>
      <c r="AAN213" s="275"/>
      <c r="AAO213" s="275"/>
      <c r="AAP213" s="275"/>
      <c r="AAQ213" s="275"/>
      <c r="AAR213" s="275"/>
      <c r="AAS213" s="275"/>
      <c r="AAT213" s="275"/>
      <c r="AAU213" s="275"/>
      <c r="AAV213" s="275"/>
      <c r="AAW213" s="275"/>
      <c r="AAX213" s="275"/>
      <c r="AAY213" s="275"/>
      <c r="AAZ213" s="275"/>
      <c r="ABA213" s="275"/>
      <c r="ABB213" s="275"/>
      <c r="ABC213" s="275"/>
      <c r="ABD213" s="275"/>
      <c r="ABE213" s="275"/>
      <c r="ABF213" s="275"/>
      <c r="ABG213" s="275"/>
      <c r="ABH213" s="275"/>
      <c r="ABI213" s="275"/>
      <c r="ABJ213" s="275"/>
      <c r="ABK213" s="275"/>
      <c r="ABL213" s="275"/>
      <c r="ABM213" s="275"/>
      <c r="ABN213" s="275"/>
      <c r="ABO213" s="275"/>
      <c r="ABP213" s="275"/>
      <c r="ABQ213" s="275"/>
      <c r="ABR213" s="275"/>
      <c r="ABS213" s="275"/>
      <c r="ABT213" s="275"/>
      <c r="ABU213" s="275"/>
      <c r="ABV213" s="275"/>
      <c r="ABW213" s="275"/>
      <c r="ABX213" s="275"/>
      <c r="ABY213" s="275"/>
      <c r="ABZ213" s="275"/>
      <c r="ACA213" s="275"/>
      <c r="ACB213" s="275"/>
      <c r="ACC213" s="275"/>
      <c r="ACD213" s="275"/>
      <c r="ACE213" s="275"/>
      <c r="ACF213" s="275"/>
      <c r="ACG213" s="275"/>
      <c r="ACH213" s="275"/>
      <c r="ACI213" s="275"/>
      <c r="ACJ213" s="275"/>
      <c r="ACK213" s="275"/>
      <c r="ACL213" s="275"/>
      <c r="ACM213" s="275"/>
      <c r="ACN213" s="275"/>
      <c r="ACO213" s="275"/>
      <c r="ACP213" s="275"/>
      <c r="ACQ213" s="275"/>
      <c r="ACR213" s="275"/>
      <c r="ACS213" s="275"/>
      <c r="ACT213" s="275"/>
      <c r="ACU213" s="275"/>
      <c r="ACV213" s="275"/>
      <c r="ACW213" s="275"/>
      <c r="ACX213" s="275"/>
      <c r="ACY213" s="275"/>
      <c r="ACZ213" s="275"/>
      <c r="ADA213" s="275"/>
      <c r="ADB213" s="275"/>
      <c r="ADC213" s="275"/>
      <c r="ADD213" s="275"/>
      <c r="ADE213" s="275"/>
      <c r="ADF213" s="275"/>
      <c r="ADG213" s="275"/>
      <c r="ADH213" s="275"/>
      <c r="ADI213" s="275"/>
      <c r="ADJ213" s="275"/>
      <c r="ADK213" s="275"/>
      <c r="ADL213" s="275"/>
      <c r="ADM213" s="275"/>
      <c r="ADN213" s="275"/>
      <c r="ADO213" s="275"/>
      <c r="ADP213" s="275"/>
      <c r="ADQ213" s="275"/>
      <c r="ADR213" s="275"/>
      <c r="ADS213" s="275"/>
      <c r="ADT213" s="275"/>
      <c r="ADU213" s="275"/>
      <c r="ADV213" s="275"/>
      <c r="ADW213" s="275"/>
      <c r="ADX213" s="275"/>
      <c r="ADY213" s="275"/>
      <c r="ADZ213" s="275"/>
      <c r="AEA213" s="275"/>
      <c r="AEB213" s="275"/>
      <c r="AEC213" s="275"/>
      <c r="AED213" s="275"/>
      <c r="AEE213" s="275"/>
      <c r="AEF213" s="275"/>
      <c r="AEG213" s="275"/>
      <c r="AEH213" s="275"/>
      <c r="AEI213" s="275"/>
      <c r="AEJ213" s="275"/>
      <c r="AEK213" s="275"/>
      <c r="AEL213" s="275"/>
      <c r="AEM213" s="275"/>
      <c r="AEN213" s="275"/>
      <c r="AEO213" s="275"/>
      <c r="AEP213" s="275"/>
      <c r="AEQ213" s="275"/>
      <c r="AER213" s="275"/>
      <c r="AES213" s="275"/>
      <c r="AET213" s="275"/>
      <c r="AEU213" s="275"/>
      <c r="AEV213" s="275"/>
      <c r="AEW213" s="275"/>
      <c r="AEX213" s="275"/>
      <c r="AEY213" s="275"/>
      <c r="AEZ213" s="275"/>
      <c r="AFA213" s="275"/>
      <c r="AFB213" s="275"/>
      <c r="AFC213" s="275"/>
      <c r="AFD213" s="275"/>
      <c r="AFE213" s="275"/>
      <c r="AFF213" s="275"/>
      <c r="AFG213" s="275"/>
      <c r="AFH213" s="275"/>
      <c r="AFI213" s="275"/>
      <c r="AFJ213" s="275"/>
      <c r="AFK213" s="275"/>
      <c r="AFL213" s="275"/>
      <c r="AFM213" s="275"/>
      <c r="AFN213" s="275"/>
      <c r="AFO213" s="275"/>
      <c r="AFP213" s="275"/>
      <c r="AFQ213" s="275"/>
      <c r="AFR213" s="275"/>
      <c r="AFS213" s="275"/>
      <c r="AFT213" s="275"/>
      <c r="AFU213" s="275"/>
      <c r="AFV213" s="275"/>
      <c r="AFW213" s="275"/>
      <c r="AFX213" s="275"/>
      <c r="AFY213" s="275"/>
      <c r="AFZ213" s="275"/>
      <c r="AGA213" s="275"/>
      <c r="AGB213" s="275"/>
      <c r="AGC213" s="275"/>
      <c r="AGD213" s="275"/>
      <c r="AGE213" s="275"/>
      <c r="AGF213" s="275"/>
      <c r="AGG213" s="275"/>
      <c r="AGH213" s="275"/>
      <c r="AGI213" s="275"/>
      <c r="AGJ213" s="275"/>
      <c r="AGK213" s="275"/>
      <c r="AGL213" s="275"/>
      <c r="AGM213" s="275"/>
      <c r="AGN213" s="275"/>
      <c r="AGO213" s="275"/>
      <c r="AGP213" s="275"/>
      <c r="AGQ213" s="275"/>
      <c r="AGR213" s="275"/>
      <c r="AGS213" s="275"/>
      <c r="AGT213" s="275"/>
      <c r="AGU213" s="275"/>
      <c r="AGV213" s="275"/>
      <c r="AGW213" s="275"/>
      <c r="AGX213" s="275"/>
      <c r="AGY213" s="275"/>
      <c r="AGZ213" s="275"/>
      <c r="AHA213" s="275"/>
      <c r="AHB213" s="275"/>
      <c r="AHC213" s="275"/>
      <c r="AHD213" s="275"/>
      <c r="AHE213" s="275"/>
      <c r="AHF213" s="275"/>
      <c r="AHG213" s="275"/>
      <c r="AHH213" s="275"/>
      <c r="AHI213" s="275"/>
      <c r="AHJ213" s="275"/>
      <c r="AHK213" s="275"/>
      <c r="AHL213" s="275"/>
      <c r="AHM213" s="275"/>
      <c r="AHN213" s="275"/>
      <c r="AHO213" s="275"/>
      <c r="AHP213" s="275"/>
      <c r="AHQ213" s="275"/>
      <c r="AHR213" s="275"/>
      <c r="AHS213" s="275"/>
      <c r="AHT213" s="275"/>
      <c r="AHU213" s="275"/>
      <c r="AHV213" s="275"/>
      <c r="AHW213" s="275"/>
      <c r="AHX213" s="275"/>
      <c r="AHY213" s="275"/>
      <c r="AHZ213" s="275"/>
      <c r="AIA213" s="275"/>
      <c r="AIB213" s="275"/>
      <c r="AIC213" s="275"/>
      <c r="AID213" s="275"/>
      <c r="AIE213" s="275"/>
      <c r="AIF213" s="275"/>
      <c r="AIG213" s="275"/>
      <c r="AIH213" s="275"/>
      <c r="AII213" s="275"/>
      <c r="AIJ213" s="275"/>
      <c r="AIK213" s="275"/>
      <c r="AIL213" s="275"/>
      <c r="AIM213" s="275"/>
      <c r="AIN213" s="275"/>
      <c r="AIO213" s="275"/>
      <c r="AIP213" s="275"/>
      <c r="AIQ213" s="275"/>
      <c r="AIR213" s="275"/>
      <c r="AIS213" s="275"/>
      <c r="AIT213" s="275"/>
      <c r="AIU213" s="275"/>
      <c r="AIV213" s="275"/>
      <c r="AIW213" s="275"/>
      <c r="AIX213" s="275"/>
      <c r="AIY213" s="275"/>
      <c r="AIZ213" s="275"/>
      <c r="AJA213" s="275"/>
      <c r="AJB213" s="275"/>
      <c r="AJC213" s="275"/>
      <c r="AJD213" s="275"/>
      <c r="AJE213" s="275"/>
      <c r="AJF213" s="275"/>
      <c r="AJG213" s="275"/>
      <c r="AJH213" s="275"/>
      <c r="AJI213" s="275"/>
      <c r="AJJ213" s="275"/>
      <c r="AJK213" s="275"/>
      <c r="AJL213" s="275"/>
      <c r="AJM213" s="275"/>
      <c r="AJN213" s="275"/>
      <c r="AJO213" s="275"/>
      <c r="AJP213" s="275"/>
      <c r="AJQ213" s="275"/>
      <c r="AJR213" s="275"/>
      <c r="AJS213" s="275"/>
      <c r="AJT213" s="275"/>
      <c r="AJU213" s="275"/>
      <c r="AJV213" s="275"/>
      <c r="AJW213" s="275"/>
      <c r="AJX213" s="275"/>
      <c r="AJY213" s="275"/>
      <c r="AJZ213" s="275"/>
      <c r="AKA213" s="275"/>
      <c r="AKB213" s="275"/>
      <c r="AKC213" s="275"/>
      <c r="AKD213" s="275"/>
      <c r="AKE213" s="275"/>
      <c r="AKF213" s="275"/>
      <c r="AKG213" s="275"/>
      <c r="AKH213" s="275"/>
      <c r="AKI213" s="275"/>
      <c r="AKJ213" s="275"/>
      <c r="AKK213" s="275"/>
      <c r="AKL213" s="275"/>
      <c r="AKM213" s="275"/>
      <c r="AKN213" s="275"/>
      <c r="AKO213" s="275"/>
      <c r="AKP213" s="275"/>
      <c r="AKQ213" s="275"/>
      <c r="AKR213" s="275"/>
      <c r="AKS213" s="275"/>
      <c r="AKT213" s="275"/>
      <c r="AKU213" s="275"/>
      <c r="AKV213" s="275"/>
      <c r="AKW213" s="275"/>
      <c r="AKX213" s="275"/>
      <c r="AKY213" s="275"/>
      <c r="AKZ213" s="275"/>
      <c r="ALA213" s="275"/>
      <c r="ALB213" s="275"/>
      <c r="ALC213" s="275"/>
      <c r="ALD213" s="275"/>
      <c r="ALE213" s="275"/>
      <c r="ALF213" s="275"/>
      <c r="ALG213" s="275"/>
      <c r="ALH213" s="275"/>
      <c r="ALI213" s="275"/>
      <c r="ALJ213" s="275"/>
      <c r="ALK213" s="275"/>
      <c r="ALL213" s="275"/>
      <c r="ALM213" s="275"/>
      <c r="ALN213" s="275"/>
      <c r="ALO213" s="275"/>
      <c r="ALP213" s="275"/>
      <c r="ALQ213" s="275"/>
      <c r="ALR213" s="275"/>
      <c r="ALS213" s="275"/>
      <c r="ALT213" s="275"/>
      <c r="ALU213" s="275"/>
      <c r="ALV213" s="275"/>
      <c r="ALW213" s="275"/>
      <c r="ALX213" s="275"/>
      <c r="ALY213" s="275"/>
      <c r="ALZ213" s="275"/>
      <c r="AMA213" s="275"/>
      <c r="AMB213" s="275"/>
      <c r="AMC213" s="275"/>
      <c r="AMD213" s="275"/>
      <c r="AME213" s="275"/>
      <c r="AMF213" s="275"/>
      <c r="AMG213" s="275"/>
      <c r="AMH213" s="275"/>
      <c r="AMI213" s="275"/>
      <c r="AMJ213" s="275"/>
      <c r="AMK213" s="275"/>
      <c r="AML213" s="275"/>
      <c r="AMM213" s="275"/>
      <c r="AMN213" s="275"/>
      <c r="AMO213" s="275"/>
      <c r="AMP213" s="275"/>
      <c r="AMQ213" s="275"/>
      <c r="AMR213" s="275"/>
      <c r="AMS213" s="275"/>
      <c r="AMT213" s="275"/>
      <c r="AMU213" s="275"/>
      <c r="AMV213" s="275"/>
      <c r="AMW213" s="275"/>
      <c r="AMX213" s="275"/>
      <c r="AMY213" s="275"/>
      <c r="AMZ213" s="275"/>
      <c r="ANA213" s="275"/>
      <c r="ANB213" s="275"/>
      <c r="ANC213" s="275"/>
      <c r="AND213" s="275"/>
      <c r="ANE213" s="275"/>
      <c r="ANF213" s="275"/>
      <c r="ANG213" s="275"/>
      <c r="ANH213" s="275"/>
      <c r="ANI213" s="275"/>
      <c r="ANJ213" s="275"/>
      <c r="ANK213" s="275"/>
      <c r="ANL213" s="275"/>
      <c r="ANM213" s="275"/>
      <c r="ANN213" s="275"/>
      <c r="ANO213" s="275"/>
      <c r="ANP213" s="275"/>
      <c r="ANQ213" s="275"/>
      <c r="ANR213" s="275"/>
      <c r="ANS213" s="275"/>
      <c r="ANT213" s="275"/>
      <c r="ANU213" s="275"/>
      <c r="ANV213" s="275"/>
      <c r="ANW213" s="275"/>
      <c r="ANX213" s="275"/>
      <c r="ANY213" s="275"/>
      <c r="ANZ213" s="275"/>
      <c r="AOA213" s="275"/>
      <c r="AOB213" s="275"/>
      <c r="AOC213" s="275"/>
      <c r="AOD213" s="275"/>
      <c r="AOE213" s="275"/>
      <c r="AOF213" s="275"/>
      <c r="AOG213" s="275"/>
      <c r="AOH213" s="275"/>
      <c r="AOI213" s="275"/>
      <c r="AOJ213" s="275"/>
      <c r="AOK213" s="275"/>
      <c r="AOL213" s="275"/>
      <c r="AOM213" s="275"/>
      <c r="AON213" s="275"/>
      <c r="AOO213" s="275"/>
      <c r="AOP213" s="275"/>
      <c r="AOQ213" s="275"/>
      <c r="AOR213" s="275"/>
      <c r="AOS213" s="275"/>
      <c r="AOT213" s="275"/>
      <c r="AOU213" s="275"/>
      <c r="AOV213" s="275"/>
      <c r="AOW213" s="275"/>
      <c r="AOX213" s="275"/>
      <c r="AOY213" s="275"/>
      <c r="AOZ213" s="275"/>
      <c r="APA213" s="275"/>
      <c r="APB213" s="275"/>
      <c r="APC213" s="275"/>
      <c r="APD213" s="275"/>
      <c r="APE213" s="275"/>
      <c r="APF213" s="275"/>
      <c r="APG213" s="275"/>
      <c r="APH213" s="275"/>
      <c r="API213" s="275"/>
      <c r="APJ213" s="275"/>
      <c r="APK213" s="275"/>
      <c r="APL213" s="275"/>
      <c r="APM213" s="275"/>
      <c r="APN213" s="275"/>
      <c r="APO213" s="275"/>
      <c r="APP213" s="275"/>
      <c r="APQ213" s="275"/>
      <c r="APR213" s="275"/>
      <c r="APS213" s="275"/>
      <c r="APT213" s="275"/>
      <c r="APU213" s="275"/>
      <c r="APV213" s="275"/>
      <c r="APW213" s="275"/>
      <c r="APX213" s="275"/>
      <c r="APY213" s="275"/>
      <c r="APZ213" s="275"/>
      <c r="AQA213" s="275"/>
      <c r="AQB213" s="275"/>
      <c r="AQC213" s="275"/>
      <c r="AQD213" s="275"/>
      <c r="AQE213" s="275"/>
      <c r="AQF213" s="275"/>
      <c r="AQG213" s="275"/>
      <c r="AQH213" s="275"/>
      <c r="AQI213" s="275"/>
      <c r="AQJ213" s="275"/>
      <c r="AQK213" s="275"/>
      <c r="AQL213" s="275"/>
      <c r="AQM213" s="275"/>
      <c r="AQN213" s="275"/>
      <c r="AQO213" s="275"/>
      <c r="AQP213" s="275"/>
      <c r="AQQ213" s="275"/>
      <c r="AQR213" s="275"/>
      <c r="AQS213" s="275"/>
      <c r="AQT213" s="275"/>
      <c r="AQU213" s="275"/>
      <c r="AQV213" s="275"/>
      <c r="AQW213" s="275"/>
      <c r="AQX213" s="275"/>
      <c r="AQY213" s="275"/>
      <c r="AQZ213" s="275"/>
      <c r="ARA213" s="275"/>
      <c r="ARB213" s="275"/>
      <c r="ARC213" s="275"/>
      <c r="ARD213" s="275"/>
      <c r="ARE213" s="275"/>
      <c r="ARF213" s="275"/>
      <c r="ARG213" s="275"/>
      <c r="ARH213" s="275"/>
      <c r="ARI213" s="275"/>
      <c r="ARJ213" s="275"/>
      <c r="ARK213" s="275"/>
      <c r="ARL213" s="275"/>
      <c r="ARM213" s="275"/>
      <c r="ARN213" s="275"/>
      <c r="ARO213" s="275"/>
      <c r="ARP213" s="275"/>
      <c r="ARQ213" s="275"/>
      <c r="ARR213" s="275"/>
      <c r="ARS213" s="275"/>
      <c r="ART213" s="275"/>
      <c r="ARU213" s="275"/>
      <c r="ARV213" s="275"/>
      <c r="ARW213" s="275"/>
      <c r="ARX213" s="275"/>
      <c r="ARY213" s="275"/>
      <c r="ARZ213" s="275"/>
      <c r="ASA213" s="275"/>
      <c r="ASB213" s="275"/>
      <c r="ASC213" s="275"/>
      <c r="ASD213" s="275"/>
      <c r="ASE213" s="275"/>
      <c r="ASF213" s="275"/>
      <c r="ASG213" s="275"/>
      <c r="ASH213" s="275"/>
      <c r="ASI213" s="275"/>
      <c r="ASJ213" s="275"/>
      <c r="ASK213" s="275"/>
      <c r="ASL213" s="275"/>
      <c r="ASM213" s="275"/>
      <c r="ASN213" s="275"/>
      <c r="ASO213" s="275"/>
      <c r="ASP213" s="275"/>
      <c r="ASQ213" s="275"/>
      <c r="ASR213" s="275"/>
      <c r="ASS213" s="275"/>
      <c r="AST213" s="275"/>
      <c r="ASU213" s="275"/>
      <c r="ASV213" s="275"/>
      <c r="ASW213" s="275"/>
      <c r="ASX213" s="275"/>
      <c r="ASY213" s="275"/>
      <c r="ASZ213" s="275"/>
      <c r="ATA213" s="275"/>
      <c r="ATB213" s="275"/>
      <c r="ATC213" s="275"/>
      <c r="ATD213" s="275"/>
      <c r="ATE213" s="275"/>
      <c r="ATF213" s="275"/>
      <c r="ATG213" s="275"/>
      <c r="ATH213" s="275"/>
      <c r="ATI213" s="275"/>
      <c r="ATJ213" s="275"/>
      <c r="ATK213" s="275"/>
      <c r="ATL213" s="275"/>
      <c r="ATM213" s="275"/>
      <c r="ATN213" s="275"/>
      <c r="ATO213" s="275"/>
      <c r="ATP213" s="275"/>
      <c r="ATQ213" s="275"/>
      <c r="ATR213" s="275"/>
      <c r="ATS213" s="275"/>
      <c r="ATT213" s="275"/>
      <c r="ATU213" s="275"/>
      <c r="ATV213" s="275"/>
      <c r="ATW213" s="275"/>
      <c r="ATX213" s="275"/>
      <c r="ATY213" s="275"/>
      <c r="ATZ213" s="275"/>
      <c r="AUA213" s="275"/>
      <c r="AUB213" s="275"/>
      <c r="AUC213" s="275"/>
      <c r="AUD213" s="275"/>
      <c r="AUE213" s="275"/>
      <c r="AUF213" s="275"/>
      <c r="AUG213" s="275"/>
      <c r="AUH213" s="275"/>
      <c r="AUI213" s="275"/>
      <c r="AUJ213" s="275"/>
      <c r="AUK213" s="275"/>
      <c r="AUL213" s="275"/>
      <c r="AUM213" s="275"/>
      <c r="AUN213" s="275"/>
      <c r="AUO213" s="275"/>
      <c r="AUP213" s="275"/>
      <c r="AUQ213" s="275"/>
      <c r="AUR213" s="275"/>
      <c r="AUS213" s="275"/>
      <c r="AUT213" s="275"/>
      <c r="AUU213" s="275"/>
      <c r="AUV213" s="275"/>
      <c r="AUW213" s="275"/>
      <c r="AUX213" s="275"/>
      <c r="AUY213" s="275"/>
      <c r="AUZ213" s="275"/>
      <c r="AVA213" s="275"/>
      <c r="AVB213" s="275"/>
      <c r="AVC213" s="275"/>
      <c r="AVD213" s="275"/>
      <c r="AVE213" s="275"/>
      <c r="AVF213" s="275"/>
      <c r="AVG213" s="275"/>
      <c r="AVH213" s="275"/>
      <c r="AVI213" s="275"/>
      <c r="AVJ213" s="275"/>
      <c r="AVK213" s="275"/>
      <c r="AVL213" s="275"/>
      <c r="AVM213" s="275"/>
      <c r="AVN213" s="275"/>
      <c r="AVO213" s="275"/>
      <c r="AVP213" s="275"/>
      <c r="AVQ213" s="275"/>
      <c r="AVR213" s="275"/>
      <c r="AVS213" s="275"/>
      <c r="AVT213" s="275"/>
      <c r="AVU213" s="275"/>
      <c r="AVV213" s="275"/>
      <c r="AVW213" s="275"/>
      <c r="AVX213" s="275"/>
      <c r="AVY213" s="275"/>
      <c r="AVZ213" s="275"/>
      <c r="AWA213" s="275"/>
      <c r="AWB213" s="275"/>
      <c r="AWC213" s="275"/>
      <c r="AWD213" s="275"/>
      <c r="AWE213" s="275"/>
      <c r="AWF213" s="275"/>
      <c r="AWG213" s="275"/>
      <c r="AWH213" s="275"/>
      <c r="AWI213" s="275"/>
      <c r="AWJ213" s="275"/>
      <c r="AWK213" s="275"/>
      <c r="AWL213" s="275"/>
      <c r="AWM213" s="275"/>
      <c r="AWN213" s="275"/>
      <c r="AWO213" s="275"/>
      <c r="AWP213" s="275"/>
      <c r="AWQ213" s="275"/>
      <c r="AWR213" s="275"/>
      <c r="AWS213" s="275"/>
      <c r="AWT213" s="275"/>
      <c r="AWU213" s="275"/>
      <c r="AWV213" s="275"/>
      <c r="AWW213" s="275"/>
      <c r="AWX213" s="275"/>
      <c r="AWY213" s="275"/>
      <c r="AWZ213" s="275"/>
      <c r="AXA213" s="275"/>
      <c r="AXB213" s="275"/>
      <c r="AXC213" s="275"/>
      <c r="AXD213" s="275"/>
      <c r="AXE213" s="275"/>
      <c r="AXF213" s="275"/>
      <c r="AXG213" s="275"/>
      <c r="AXH213" s="275"/>
      <c r="AXI213" s="275"/>
      <c r="AXJ213" s="275"/>
      <c r="AXK213" s="275"/>
      <c r="AXL213" s="275"/>
      <c r="AXM213" s="275"/>
      <c r="AXN213" s="275"/>
      <c r="AXO213" s="275"/>
      <c r="AXP213" s="275"/>
      <c r="AXQ213" s="275"/>
      <c r="AXR213" s="275"/>
      <c r="AXS213" s="275"/>
      <c r="AXT213" s="275"/>
      <c r="AXU213" s="275"/>
      <c r="AXV213" s="275"/>
      <c r="AXW213" s="275"/>
      <c r="AXX213" s="275"/>
      <c r="AXY213" s="275"/>
      <c r="AXZ213" s="275"/>
      <c r="AYA213" s="275"/>
      <c r="AYB213" s="275"/>
      <c r="AYC213" s="275"/>
      <c r="AYD213" s="275"/>
      <c r="AYE213" s="275"/>
      <c r="AYF213" s="275"/>
      <c r="AYG213" s="275"/>
      <c r="AYH213" s="275"/>
      <c r="AYI213" s="275"/>
      <c r="AYJ213" s="275"/>
      <c r="AYK213" s="275"/>
      <c r="AYL213" s="275"/>
      <c r="AYM213" s="275"/>
      <c r="AYN213" s="275"/>
      <c r="AYO213" s="275"/>
      <c r="AYP213" s="275"/>
      <c r="AYQ213" s="275"/>
      <c r="AYR213" s="275"/>
      <c r="AYS213" s="275"/>
      <c r="AYT213" s="275"/>
      <c r="AYU213" s="275"/>
      <c r="AYV213" s="275"/>
      <c r="AYW213" s="275"/>
      <c r="AYX213" s="275"/>
      <c r="AYY213" s="275"/>
      <c r="AYZ213" s="275"/>
      <c r="AZA213" s="275"/>
      <c r="AZB213" s="275"/>
      <c r="AZC213" s="275"/>
      <c r="AZD213" s="275"/>
      <c r="AZE213" s="275"/>
      <c r="AZF213" s="275"/>
      <c r="AZG213" s="275"/>
      <c r="AZH213" s="275"/>
      <c r="AZI213" s="275"/>
      <c r="AZJ213" s="275"/>
      <c r="AZK213" s="275"/>
      <c r="AZL213" s="275"/>
      <c r="AZM213" s="275"/>
      <c r="AZN213" s="275"/>
      <c r="AZO213" s="275"/>
      <c r="AZP213" s="275"/>
      <c r="AZQ213" s="275"/>
      <c r="AZR213" s="275"/>
      <c r="AZS213" s="275"/>
      <c r="AZT213" s="275"/>
      <c r="AZU213" s="275"/>
      <c r="AZV213" s="275"/>
      <c r="AZW213" s="275"/>
      <c r="AZX213" s="275"/>
      <c r="AZY213" s="275"/>
      <c r="AZZ213" s="275"/>
      <c r="BAA213" s="275"/>
      <c r="BAB213" s="275"/>
      <c r="BAC213" s="275"/>
      <c r="BAD213" s="275"/>
      <c r="BAE213" s="275"/>
      <c r="BAF213" s="275"/>
      <c r="BAG213" s="275"/>
      <c r="BAH213" s="275"/>
      <c r="BAI213" s="275"/>
      <c r="BAJ213" s="275"/>
      <c r="BAK213" s="275"/>
      <c r="BAL213" s="275"/>
      <c r="BAM213" s="275"/>
      <c r="BAN213" s="275"/>
      <c r="BAO213" s="275"/>
      <c r="BAP213" s="275"/>
      <c r="BAQ213" s="275"/>
      <c r="BAR213" s="275"/>
      <c r="BAS213" s="275"/>
      <c r="BAT213" s="275"/>
      <c r="BAU213" s="275"/>
      <c r="BAV213" s="275"/>
      <c r="BAW213" s="275"/>
      <c r="BAX213" s="275"/>
      <c r="BAY213" s="275"/>
      <c r="BAZ213" s="275"/>
      <c r="BBA213" s="275"/>
      <c r="BBB213" s="275"/>
      <c r="BBC213" s="275"/>
      <c r="BBD213" s="275"/>
      <c r="BBE213" s="275"/>
      <c r="BBF213" s="275"/>
      <c r="BBG213" s="275"/>
      <c r="BBH213" s="275"/>
      <c r="BBI213" s="275"/>
      <c r="BBJ213" s="275"/>
      <c r="BBK213" s="275"/>
      <c r="BBL213" s="275"/>
      <c r="BBM213" s="275"/>
      <c r="BBN213" s="275"/>
      <c r="BBO213" s="275"/>
      <c r="BBP213" s="275"/>
      <c r="BBQ213" s="275"/>
      <c r="BBR213" s="275"/>
      <c r="BBS213" s="275"/>
      <c r="BBT213" s="275"/>
      <c r="BBU213" s="275"/>
      <c r="BBV213" s="275"/>
      <c r="BBW213" s="275"/>
      <c r="BBX213" s="275"/>
      <c r="BBY213" s="275"/>
      <c r="BBZ213" s="275"/>
      <c r="BCA213" s="275"/>
      <c r="BCB213" s="275"/>
      <c r="BCC213" s="275"/>
      <c r="BCD213" s="275"/>
      <c r="BCE213" s="275"/>
      <c r="BCF213" s="275"/>
      <c r="BCG213" s="275"/>
      <c r="BCH213" s="275"/>
      <c r="BCI213" s="275"/>
      <c r="BCJ213" s="275"/>
      <c r="BCK213" s="275"/>
      <c r="BCL213" s="275"/>
      <c r="BCM213" s="275"/>
      <c r="BCN213" s="275"/>
      <c r="BCO213" s="275"/>
      <c r="BCP213" s="275"/>
      <c r="BCQ213" s="275"/>
      <c r="BCR213" s="275"/>
      <c r="BCS213" s="275"/>
      <c r="BCT213" s="275"/>
      <c r="BCU213" s="275"/>
      <c r="BCV213" s="275"/>
      <c r="BCW213" s="275"/>
      <c r="BCX213" s="275"/>
      <c r="BCY213" s="275"/>
      <c r="BCZ213" s="275"/>
      <c r="BDA213" s="275"/>
      <c r="BDB213" s="275"/>
      <c r="BDC213" s="275"/>
      <c r="BDD213" s="275"/>
      <c r="BDE213" s="275"/>
      <c r="BDF213" s="275"/>
      <c r="BDG213" s="275"/>
      <c r="BDH213" s="275"/>
      <c r="BDI213" s="275"/>
      <c r="BDJ213" s="275"/>
      <c r="BDK213" s="275"/>
      <c r="BDL213" s="275"/>
      <c r="BDM213" s="275"/>
      <c r="BDN213" s="275"/>
      <c r="BDO213" s="275"/>
      <c r="BDP213" s="275"/>
      <c r="BDQ213" s="275"/>
      <c r="BDR213" s="275"/>
      <c r="BDS213" s="275"/>
      <c r="BDT213" s="275"/>
      <c r="BDU213" s="275"/>
      <c r="BDV213" s="275"/>
      <c r="BDW213" s="275"/>
      <c r="BDX213" s="275"/>
      <c r="BDY213" s="275"/>
      <c r="BDZ213" s="275"/>
      <c r="BEA213" s="275"/>
      <c r="BEB213" s="275"/>
      <c r="BEC213" s="275"/>
      <c r="BED213" s="275"/>
      <c r="BEE213" s="275"/>
      <c r="BEF213" s="275"/>
      <c r="BEG213" s="275"/>
      <c r="BEH213" s="275"/>
      <c r="BEI213" s="275"/>
      <c r="BEJ213" s="275"/>
      <c r="BEK213" s="275"/>
      <c r="BEL213" s="275"/>
      <c r="BEM213" s="275"/>
      <c r="BEN213" s="275"/>
      <c r="BEO213" s="275"/>
      <c r="BEP213" s="275"/>
      <c r="BEQ213" s="275"/>
      <c r="BER213" s="275"/>
      <c r="BES213" s="275"/>
      <c r="BET213" s="275"/>
      <c r="BEU213" s="275"/>
      <c r="BEV213" s="275"/>
      <c r="BEW213" s="275"/>
      <c r="BEX213" s="275"/>
      <c r="BEY213" s="275"/>
      <c r="BEZ213" s="275"/>
      <c r="BFA213" s="275"/>
      <c r="BFB213" s="275"/>
      <c r="BFC213" s="275"/>
      <c r="BFD213" s="275"/>
      <c r="BFE213" s="275"/>
      <c r="BFF213" s="275"/>
      <c r="BFG213" s="275"/>
      <c r="BFH213" s="275"/>
      <c r="BFI213" s="275"/>
      <c r="BFJ213" s="275"/>
      <c r="BFK213" s="275"/>
      <c r="BFL213" s="275"/>
      <c r="BFM213" s="275"/>
      <c r="BFN213" s="275"/>
      <c r="BFO213" s="275"/>
      <c r="BFP213" s="275"/>
      <c r="BFQ213" s="275"/>
      <c r="BFR213" s="275"/>
      <c r="BFS213" s="275"/>
      <c r="BFT213" s="275"/>
      <c r="BFU213" s="275"/>
      <c r="BFV213" s="275"/>
      <c r="BFW213" s="275"/>
      <c r="BFX213" s="275"/>
      <c r="BFY213" s="275"/>
      <c r="BFZ213" s="275"/>
      <c r="BGA213" s="275"/>
      <c r="BGB213" s="275"/>
      <c r="BGC213" s="275"/>
      <c r="BGD213" s="275"/>
      <c r="BGE213" s="275"/>
      <c r="BGF213" s="275"/>
      <c r="BGG213" s="275"/>
      <c r="BGH213" s="275"/>
      <c r="BGI213" s="275"/>
      <c r="BGJ213" s="275"/>
      <c r="BGK213" s="275"/>
      <c r="BGL213" s="275"/>
      <c r="BGM213" s="275"/>
      <c r="BGN213" s="275"/>
      <c r="BGO213" s="275"/>
      <c r="BGP213" s="275"/>
      <c r="BGQ213" s="275"/>
      <c r="BGR213" s="275"/>
      <c r="BGS213" s="275"/>
      <c r="BGT213" s="275"/>
      <c r="BGU213" s="275"/>
      <c r="BGV213" s="275"/>
      <c r="BGW213" s="275"/>
      <c r="BGX213" s="275"/>
      <c r="BGY213" s="275"/>
      <c r="BGZ213" s="275"/>
      <c r="BHA213" s="275"/>
      <c r="BHB213" s="275"/>
      <c r="BHC213" s="275"/>
      <c r="BHD213" s="275"/>
      <c r="BHE213" s="275"/>
      <c r="BHF213" s="275"/>
      <c r="BHG213" s="275"/>
      <c r="BHH213" s="275"/>
      <c r="BHI213" s="275"/>
      <c r="BHJ213" s="275"/>
      <c r="BHK213" s="275"/>
      <c r="BHL213" s="275"/>
      <c r="BHM213" s="275"/>
      <c r="BHN213" s="275"/>
      <c r="BHO213" s="275"/>
      <c r="BHP213" s="275"/>
      <c r="BHQ213" s="275"/>
      <c r="BHR213" s="275"/>
      <c r="BHS213" s="275"/>
      <c r="BHT213" s="275"/>
      <c r="BHU213" s="275"/>
      <c r="BHV213" s="275"/>
      <c r="BHW213" s="275"/>
      <c r="BHX213" s="275"/>
      <c r="BHY213" s="275"/>
      <c r="BHZ213" s="275"/>
      <c r="BIA213" s="275"/>
      <c r="BIB213" s="275"/>
      <c r="BIC213" s="275"/>
      <c r="BID213" s="275"/>
      <c r="BIE213" s="275"/>
      <c r="BIF213" s="275"/>
      <c r="BIG213" s="275"/>
      <c r="BIH213" s="275"/>
      <c r="BII213" s="275"/>
      <c r="BIJ213" s="275"/>
      <c r="BIK213" s="275"/>
      <c r="BIL213" s="275"/>
      <c r="BIM213" s="275"/>
      <c r="BIN213" s="275"/>
      <c r="BIO213" s="275"/>
      <c r="BIP213" s="275"/>
      <c r="BIQ213" s="275"/>
      <c r="BIR213" s="275"/>
      <c r="BIS213" s="275"/>
      <c r="BIT213" s="275"/>
      <c r="BIU213" s="275"/>
      <c r="BIV213" s="275"/>
      <c r="BIW213" s="275"/>
      <c r="BIX213" s="275"/>
      <c r="BIY213" s="275"/>
      <c r="BIZ213" s="275"/>
      <c r="BJA213" s="275"/>
      <c r="BJB213" s="275"/>
      <c r="BJC213" s="275"/>
      <c r="BJD213" s="275"/>
      <c r="BJE213" s="275"/>
      <c r="BJF213" s="275"/>
      <c r="BJG213" s="275"/>
      <c r="BJH213" s="275"/>
      <c r="BJI213" s="275"/>
      <c r="BJJ213" s="275"/>
      <c r="BJK213" s="275"/>
      <c r="BJL213" s="275"/>
      <c r="BJM213" s="275"/>
      <c r="BJN213" s="275"/>
      <c r="BJO213" s="275"/>
      <c r="BJP213" s="275"/>
      <c r="BJQ213" s="275"/>
      <c r="BJR213" s="275"/>
      <c r="BJS213" s="275"/>
      <c r="BJT213" s="275"/>
      <c r="BJU213" s="275"/>
      <c r="BJV213" s="275"/>
      <c r="BJW213" s="275"/>
      <c r="BJX213" s="275"/>
      <c r="BJY213" s="275"/>
      <c r="BJZ213" s="275"/>
      <c r="BKA213" s="275"/>
      <c r="BKB213" s="275"/>
      <c r="BKC213" s="275"/>
      <c r="BKD213" s="275"/>
      <c r="BKE213" s="275"/>
      <c r="BKF213" s="275"/>
      <c r="BKG213" s="275"/>
      <c r="BKH213" s="275"/>
      <c r="BKI213" s="275"/>
      <c r="BKJ213" s="275"/>
      <c r="BKK213" s="275"/>
      <c r="BKL213" s="275"/>
      <c r="BKM213" s="275"/>
      <c r="BKN213" s="275"/>
      <c r="BKO213" s="275"/>
      <c r="BKP213" s="275"/>
      <c r="BKQ213" s="275"/>
      <c r="BKR213" s="275"/>
      <c r="BKS213" s="275"/>
      <c r="BKT213" s="275"/>
      <c r="BKU213" s="275"/>
      <c r="BKV213" s="275"/>
      <c r="BKW213" s="275"/>
      <c r="BKX213" s="275"/>
      <c r="BKY213" s="275"/>
      <c r="BKZ213" s="275"/>
      <c r="BLA213" s="275"/>
      <c r="BLB213" s="275"/>
      <c r="BLC213" s="275"/>
      <c r="BLD213" s="275"/>
      <c r="BLE213" s="275"/>
      <c r="BLF213" s="275"/>
      <c r="BLG213" s="275"/>
      <c r="BLH213" s="275"/>
      <c r="BLI213" s="275"/>
      <c r="BLJ213" s="275"/>
      <c r="BLK213" s="275"/>
      <c r="BLL213" s="275"/>
      <c r="BLM213" s="275"/>
      <c r="BLN213" s="275"/>
      <c r="BLO213" s="275"/>
      <c r="BLP213" s="275"/>
      <c r="BLQ213" s="275"/>
      <c r="BLR213" s="275"/>
      <c r="BLS213" s="275"/>
      <c r="BLT213" s="275"/>
      <c r="BLU213" s="275"/>
      <c r="BLV213" s="275"/>
      <c r="BLW213" s="275"/>
      <c r="BLX213" s="275"/>
      <c r="BLY213" s="275"/>
      <c r="BLZ213" s="275"/>
      <c r="BMA213" s="275"/>
      <c r="BMB213" s="275"/>
      <c r="BMC213" s="275"/>
      <c r="BMD213" s="275"/>
      <c r="BME213" s="275"/>
      <c r="BMF213" s="275"/>
      <c r="BMG213" s="275"/>
      <c r="BMH213" s="275"/>
      <c r="BMI213" s="275"/>
      <c r="BMJ213" s="275"/>
      <c r="BMK213" s="275"/>
      <c r="BML213" s="275"/>
      <c r="BMM213" s="275"/>
      <c r="BMN213" s="275"/>
      <c r="BMO213" s="275"/>
      <c r="BMP213" s="275"/>
      <c r="BMQ213" s="275"/>
      <c r="BMR213" s="275"/>
      <c r="BMS213" s="275"/>
      <c r="BMT213" s="275"/>
      <c r="BMU213" s="275"/>
      <c r="BMV213" s="275"/>
      <c r="BMW213" s="275"/>
      <c r="BMX213" s="275"/>
      <c r="BMY213" s="275"/>
      <c r="BMZ213" s="275"/>
      <c r="BNA213" s="275"/>
      <c r="BNB213" s="275"/>
      <c r="BNC213" s="275"/>
      <c r="BND213" s="275"/>
      <c r="BNE213" s="275"/>
      <c r="BNF213" s="275"/>
      <c r="BNG213" s="275"/>
      <c r="BNH213" s="275"/>
      <c r="BNI213" s="275"/>
      <c r="BNJ213" s="275"/>
      <c r="BNK213" s="275"/>
      <c r="BNL213" s="275"/>
      <c r="BNM213" s="275"/>
      <c r="BNN213" s="275"/>
      <c r="BNO213" s="275"/>
      <c r="BNP213" s="275"/>
      <c r="BNQ213" s="275"/>
      <c r="BNR213" s="275"/>
      <c r="BNS213" s="275"/>
      <c r="BNT213" s="275"/>
      <c r="BNU213" s="275"/>
      <c r="BNV213" s="275"/>
      <c r="BNW213" s="275"/>
      <c r="BNX213" s="275"/>
      <c r="BNY213" s="275"/>
      <c r="BNZ213" s="275"/>
      <c r="BOA213" s="275"/>
      <c r="BOB213" s="275"/>
      <c r="BOC213" s="275"/>
      <c r="BOD213" s="275"/>
      <c r="BOE213" s="275"/>
      <c r="BOF213" s="275"/>
      <c r="BOG213" s="275"/>
      <c r="BOH213" s="275"/>
      <c r="BOI213" s="275"/>
      <c r="BOJ213" s="275"/>
      <c r="BOK213" s="275"/>
      <c r="BOL213" s="275"/>
      <c r="BOM213" s="275"/>
      <c r="BON213" s="275"/>
      <c r="BOO213" s="275"/>
      <c r="BOP213" s="275"/>
      <c r="BOQ213" s="275"/>
      <c r="BOR213" s="275"/>
      <c r="BOS213" s="275"/>
      <c r="BOT213" s="275"/>
      <c r="BOU213" s="275"/>
      <c r="BOV213" s="275"/>
      <c r="BOW213" s="275"/>
      <c r="BOX213" s="275"/>
      <c r="BOY213" s="275"/>
      <c r="BOZ213" s="275"/>
      <c r="BPA213" s="275"/>
      <c r="BPB213" s="275"/>
      <c r="BPC213" s="275"/>
      <c r="BPD213" s="275"/>
      <c r="BPE213" s="275"/>
      <c r="BPF213" s="275"/>
      <c r="BPG213" s="275"/>
      <c r="BPH213" s="275"/>
      <c r="BPI213" s="275"/>
      <c r="BPJ213" s="275"/>
      <c r="BPK213" s="275"/>
      <c r="BPL213" s="275"/>
      <c r="BPM213" s="275"/>
      <c r="BPN213" s="275"/>
      <c r="BPO213" s="275"/>
      <c r="BPP213" s="275"/>
      <c r="BPQ213" s="275"/>
      <c r="BPR213" s="275"/>
      <c r="BPS213" s="275"/>
      <c r="BPT213" s="275"/>
      <c r="BPU213" s="275"/>
      <c r="BPV213" s="275"/>
      <c r="BPW213" s="275"/>
      <c r="BPX213" s="275"/>
      <c r="BPY213" s="275"/>
      <c r="BPZ213" s="275"/>
      <c r="BQA213" s="275"/>
      <c r="BQB213" s="275"/>
      <c r="BQC213" s="275"/>
      <c r="BQD213" s="275"/>
      <c r="BQE213" s="275"/>
      <c r="BQF213" s="275"/>
      <c r="BQG213" s="275"/>
      <c r="BQH213" s="275"/>
      <c r="BQI213" s="275"/>
      <c r="BQJ213" s="275"/>
      <c r="BQK213" s="275"/>
      <c r="BQL213" s="275"/>
      <c r="BQM213" s="275"/>
      <c r="BQN213" s="275"/>
      <c r="BQO213" s="275"/>
      <c r="BQP213" s="275"/>
      <c r="BQQ213" s="275"/>
      <c r="BQR213" s="275"/>
      <c r="BQS213" s="275"/>
      <c r="BQT213" s="275"/>
      <c r="BQU213" s="275"/>
      <c r="BQV213" s="275"/>
      <c r="BQW213" s="275"/>
      <c r="BQX213" s="275"/>
      <c r="BQY213" s="275"/>
      <c r="BQZ213" s="275"/>
      <c r="BRA213" s="275"/>
      <c r="BRB213" s="275"/>
      <c r="BRC213" s="275"/>
      <c r="BRD213" s="275"/>
      <c r="BRE213" s="275"/>
      <c r="BRF213" s="275"/>
      <c r="BRG213" s="275"/>
      <c r="BRH213" s="275"/>
      <c r="BRI213" s="275"/>
      <c r="BRJ213" s="275"/>
      <c r="BRK213" s="275"/>
      <c r="BRL213" s="275"/>
      <c r="BRM213" s="275"/>
      <c r="BRN213" s="275"/>
      <c r="BRO213" s="275"/>
      <c r="BRP213" s="275"/>
      <c r="BRQ213" s="275"/>
      <c r="BRR213" s="275"/>
      <c r="BRS213" s="275"/>
      <c r="BRT213" s="275"/>
      <c r="BRU213" s="275"/>
      <c r="BRV213" s="275"/>
      <c r="BRW213" s="275"/>
      <c r="BRX213" s="275"/>
      <c r="BRY213" s="275"/>
      <c r="BRZ213" s="275"/>
      <c r="BSA213" s="275"/>
      <c r="BSB213" s="275"/>
      <c r="BSC213" s="275"/>
      <c r="BSD213" s="275"/>
      <c r="BSE213" s="275"/>
      <c r="BSF213" s="275"/>
      <c r="BSG213" s="275"/>
      <c r="BSH213" s="275"/>
      <c r="BSI213" s="275"/>
      <c r="BSJ213" s="275"/>
      <c r="BSK213" s="275"/>
      <c r="BSL213" s="275"/>
      <c r="BSM213" s="275"/>
      <c r="BSN213" s="275"/>
      <c r="BSO213" s="275"/>
      <c r="BSP213" s="275"/>
      <c r="BSQ213" s="275"/>
      <c r="BSR213" s="275"/>
      <c r="BSS213" s="275"/>
      <c r="BST213" s="275"/>
      <c r="BSU213" s="275"/>
      <c r="BSV213" s="275"/>
      <c r="BSW213" s="275"/>
      <c r="BSX213" s="275"/>
      <c r="BSY213" s="275"/>
      <c r="BSZ213" s="275"/>
      <c r="BTA213" s="275"/>
      <c r="BTB213" s="275"/>
      <c r="BTC213" s="275"/>
      <c r="BTD213" s="275"/>
      <c r="BTE213" s="275"/>
      <c r="BTF213" s="275"/>
      <c r="BTG213" s="275"/>
      <c r="BTH213" s="275"/>
      <c r="BTI213" s="275"/>
      <c r="BTJ213" s="275"/>
      <c r="BTK213" s="275"/>
      <c r="BTL213" s="275"/>
      <c r="BTM213" s="275"/>
      <c r="BTN213" s="275"/>
      <c r="BTO213" s="275"/>
      <c r="BTP213" s="275"/>
      <c r="BTQ213" s="275"/>
      <c r="BTR213" s="275"/>
      <c r="BTS213" s="275"/>
      <c r="BTT213" s="275"/>
      <c r="BTU213" s="275"/>
      <c r="BTV213" s="275"/>
      <c r="BTW213" s="275"/>
      <c r="BTX213" s="275"/>
      <c r="BTY213" s="275"/>
      <c r="BTZ213" s="275"/>
      <c r="BUA213" s="275"/>
      <c r="BUB213" s="275"/>
      <c r="BUC213" s="275"/>
      <c r="BUD213" s="275"/>
      <c r="BUE213" s="275"/>
      <c r="BUF213" s="275"/>
      <c r="BUG213" s="275"/>
      <c r="BUH213" s="275"/>
      <c r="BUI213" s="275"/>
      <c r="BUJ213" s="275"/>
      <c r="BUK213" s="275"/>
      <c r="BUL213" s="275"/>
      <c r="BUM213" s="275"/>
      <c r="BUN213" s="275"/>
      <c r="BUO213" s="275"/>
      <c r="BUP213" s="275"/>
      <c r="BUQ213" s="275"/>
      <c r="BUR213" s="275"/>
      <c r="BUS213" s="275"/>
      <c r="BUT213" s="275"/>
      <c r="BUU213" s="275"/>
      <c r="BUV213" s="275"/>
      <c r="BUW213" s="275"/>
      <c r="BUX213" s="275"/>
      <c r="BUY213" s="275"/>
      <c r="BUZ213" s="275"/>
      <c r="BVA213" s="275"/>
      <c r="BVB213" s="275"/>
      <c r="BVC213" s="275"/>
      <c r="BVD213" s="275"/>
      <c r="BVE213" s="275"/>
      <c r="BVF213" s="275"/>
      <c r="BVG213" s="275"/>
      <c r="BVH213" s="275"/>
      <c r="BVI213" s="275"/>
      <c r="BVJ213" s="275"/>
      <c r="BVK213" s="275"/>
      <c r="BVL213" s="275"/>
      <c r="BVM213" s="275"/>
      <c r="BVN213" s="275"/>
      <c r="BVO213" s="275"/>
      <c r="BVP213" s="275"/>
      <c r="BVQ213" s="275"/>
      <c r="BVR213" s="275"/>
      <c r="BVS213" s="275"/>
      <c r="BVT213" s="275"/>
      <c r="BVU213" s="275"/>
      <c r="BVV213" s="275"/>
      <c r="BVW213" s="275"/>
      <c r="BVX213" s="275"/>
      <c r="BVY213" s="275"/>
      <c r="BVZ213" s="275"/>
      <c r="BWA213" s="275"/>
      <c r="BWB213" s="275"/>
      <c r="BWC213" s="275"/>
      <c r="BWD213" s="275"/>
      <c r="BWE213" s="275"/>
      <c r="BWF213" s="275"/>
      <c r="BWG213" s="275"/>
      <c r="BWH213" s="275"/>
      <c r="BWI213" s="275"/>
      <c r="BWJ213" s="275"/>
      <c r="BWK213" s="275"/>
      <c r="BWL213" s="275"/>
      <c r="BWM213" s="275"/>
      <c r="BWN213" s="275"/>
      <c r="BWO213" s="275"/>
      <c r="BWP213" s="275"/>
      <c r="BWQ213" s="275"/>
      <c r="BWR213" s="275"/>
      <c r="BWS213" s="275"/>
      <c r="BWT213" s="275"/>
      <c r="BWU213" s="275"/>
      <c r="BWV213" s="275"/>
      <c r="BWW213" s="275"/>
      <c r="BWX213" s="275"/>
      <c r="BWY213" s="275"/>
      <c r="BWZ213" s="275"/>
      <c r="BXA213" s="275"/>
      <c r="BXB213" s="275"/>
      <c r="BXC213" s="275"/>
      <c r="BXD213" s="275"/>
      <c r="BXE213" s="275"/>
      <c r="BXF213" s="275"/>
      <c r="BXG213" s="275"/>
      <c r="BXH213" s="275"/>
      <c r="BXI213" s="275"/>
      <c r="BXJ213" s="275"/>
      <c r="BXK213" s="275"/>
      <c r="BXL213" s="275"/>
      <c r="BXM213" s="275"/>
      <c r="BXN213" s="275"/>
      <c r="BXO213" s="275"/>
      <c r="BXP213" s="275"/>
      <c r="BXQ213" s="275"/>
      <c r="BXR213" s="275"/>
      <c r="BXS213" s="275"/>
      <c r="BXT213" s="275"/>
      <c r="BXU213" s="275"/>
      <c r="BXV213" s="275"/>
      <c r="BXW213" s="275"/>
      <c r="BXX213" s="275"/>
      <c r="BXY213" s="275"/>
      <c r="BXZ213" s="275"/>
      <c r="BYA213" s="275"/>
      <c r="BYB213" s="275"/>
      <c r="BYC213" s="275"/>
      <c r="BYD213" s="275"/>
      <c r="BYE213" s="275"/>
      <c r="BYF213" s="275"/>
      <c r="BYG213" s="275"/>
      <c r="BYH213" s="275"/>
      <c r="BYI213" s="275"/>
      <c r="BYJ213" s="275"/>
      <c r="BYK213" s="275"/>
      <c r="BYL213" s="275"/>
      <c r="BYM213" s="275"/>
      <c r="BYN213" s="275"/>
      <c r="BYO213" s="275"/>
      <c r="BYP213" s="275"/>
      <c r="BYQ213" s="275"/>
      <c r="BYR213" s="275"/>
      <c r="BYS213" s="275"/>
      <c r="BYT213" s="275"/>
      <c r="BYU213" s="275"/>
      <c r="BYV213" s="275"/>
      <c r="BYW213" s="275"/>
      <c r="BYX213" s="275"/>
      <c r="BYY213" s="275"/>
      <c r="BYZ213" s="275"/>
      <c r="BZA213" s="275"/>
      <c r="BZB213" s="275"/>
      <c r="BZC213" s="275"/>
      <c r="BZD213" s="275"/>
      <c r="BZE213" s="275"/>
      <c r="BZF213" s="275"/>
      <c r="BZG213" s="275"/>
      <c r="BZH213" s="275"/>
      <c r="BZI213" s="275"/>
      <c r="BZJ213" s="275"/>
      <c r="BZK213" s="275"/>
      <c r="BZL213" s="275"/>
      <c r="BZM213" s="275"/>
      <c r="BZN213" s="275"/>
      <c r="BZO213" s="275"/>
      <c r="BZP213" s="275"/>
      <c r="BZQ213" s="275"/>
      <c r="BZR213" s="275"/>
      <c r="BZS213" s="275"/>
      <c r="BZT213" s="275"/>
      <c r="BZU213" s="275"/>
      <c r="BZV213" s="275"/>
      <c r="BZW213" s="275"/>
      <c r="BZX213" s="275"/>
      <c r="BZY213" s="275"/>
      <c r="BZZ213" s="275"/>
      <c r="CAA213" s="275"/>
      <c r="CAB213" s="275"/>
      <c r="CAC213" s="275"/>
      <c r="CAD213" s="275"/>
      <c r="CAE213" s="275"/>
      <c r="CAF213" s="275"/>
      <c r="CAG213" s="275"/>
      <c r="CAH213" s="275"/>
      <c r="CAI213" s="275"/>
      <c r="CAJ213" s="275"/>
      <c r="CAK213" s="275"/>
      <c r="CAL213" s="275"/>
      <c r="CAM213" s="275"/>
      <c r="CAN213" s="275"/>
      <c r="CAO213" s="275"/>
      <c r="CAP213" s="275"/>
      <c r="CAQ213" s="275"/>
      <c r="CAR213" s="275"/>
      <c r="CAS213" s="275"/>
      <c r="CAT213" s="275"/>
      <c r="CAU213" s="275"/>
      <c r="CAV213" s="275"/>
      <c r="CAW213" s="275"/>
      <c r="CAX213" s="275"/>
      <c r="CAY213" s="275"/>
      <c r="CAZ213" s="275"/>
      <c r="CBA213" s="275"/>
      <c r="CBB213" s="275"/>
      <c r="CBC213" s="275"/>
      <c r="CBD213" s="275"/>
      <c r="CBE213" s="275"/>
      <c r="CBF213" s="275"/>
      <c r="CBG213" s="275"/>
      <c r="CBH213" s="275"/>
      <c r="CBI213" s="275"/>
      <c r="CBJ213" s="275"/>
      <c r="CBK213" s="275"/>
      <c r="CBL213" s="275"/>
      <c r="CBM213" s="275"/>
      <c r="CBN213" s="275"/>
      <c r="CBO213" s="275"/>
      <c r="CBP213" s="275"/>
      <c r="CBQ213" s="275"/>
      <c r="CBR213" s="275"/>
      <c r="CBS213" s="275"/>
      <c r="CBT213" s="275"/>
      <c r="CBU213" s="275"/>
      <c r="CBV213" s="275"/>
      <c r="CBW213" s="275"/>
      <c r="CBX213" s="275"/>
      <c r="CBY213" s="275"/>
      <c r="CBZ213" s="275"/>
      <c r="CCA213" s="275"/>
      <c r="CCB213" s="275"/>
      <c r="CCC213" s="275"/>
      <c r="CCD213" s="275"/>
      <c r="CCE213" s="275"/>
      <c r="CCF213" s="275"/>
      <c r="CCG213" s="275"/>
      <c r="CCH213" s="275"/>
      <c r="CCI213" s="275"/>
      <c r="CCJ213" s="275"/>
      <c r="CCK213" s="275"/>
      <c r="CCL213" s="275"/>
      <c r="CCM213" s="275"/>
      <c r="CCN213" s="275"/>
      <c r="CCO213" s="275"/>
      <c r="CCP213" s="275"/>
      <c r="CCQ213" s="275"/>
      <c r="CCR213" s="275"/>
      <c r="CCS213" s="275"/>
      <c r="CCT213" s="275"/>
      <c r="CCU213" s="275"/>
      <c r="CCV213" s="275"/>
      <c r="CCW213" s="275"/>
      <c r="CCX213" s="275"/>
      <c r="CCY213" s="275"/>
      <c r="CCZ213" s="275"/>
      <c r="CDA213" s="275"/>
      <c r="CDB213" s="275"/>
      <c r="CDC213" s="275"/>
      <c r="CDD213" s="275"/>
      <c r="CDE213" s="275"/>
      <c r="CDF213" s="275"/>
      <c r="CDG213" s="275"/>
      <c r="CDH213" s="275"/>
      <c r="CDI213" s="275"/>
      <c r="CDJ213" s="275"/>
      <c r="CDK213" s="275"/>
      <c r="CDL213" s="275"/>
      <c r="CDM213" s="275"/>
      <c r="CDN213" s="275"/>
      <c r="CDO213" s="275"/>
      <c r="CDP213" s="275"/>
      <c r="CDQ213" s="275"/>
      <c r="CDR213" s="275"/>
      <c r="CDS213" s="275"/>
      <c r="CDT213" s="275"/>
      <c r="CDU213" s="275"/>
      <c r="CDV213" s="275"/>
      <c r="CDW213" s="275"/>
      <c r="CDX213" s="275"/>
      <c r="CDY213" s="275"/>
      <c r="CDZ213" s="275"/>
      <c r="CEA213" s="275"/>
      <c r="CEB213" s="275"/>
      <c r="CEC213" s="275"/>
      <c r="CED213" s="275"/>
      <c r="CEE213" s="275"/>
      <c r="CEF213" s="275"/>
      <c r="CEG213" s="275"/>
      <c r="CEH213" s="275"/>
      <c r="CEI213" s="275"/>
      <c r="CEJ213" s="275"/>
      <c r="CEK213" s="275"/>
      <c r="CEL213" s="275"/>
      <c r="CEM213" s="275"/>
      <c r="CEN213" s="275"/>
      <c r="CEO213" s="275"/>
      <c r="CEP213" s="275"/>
      <c r="CEQ213" s="275"/>
      <c r="CER213" s="275"/>
      <c r="CES213" s="275"/>
      <c r="CET213" s="275"/>
      <c r="CEU213" s="275"/>
      <c r="CEV213" s="275"/>
      <c r="CEW213" s="275"/>
      <c r="CEX213" s="275"/>
      <c r="CEY213" s="275"/>
      <c r="CEZ213" s="275"/>
      <c r="CFA213" s="275"/>
      <c r="CFB213" s="275"/>
      <c r="CFC213" s="275"/>
      <c r="CFD213" s="275"/>
      <c r="CFE213" s="275"/>
      <c r="CFF213" s="275"/>
      <c r="CFG213" s="275"/>
      <c r="CFH213" s="275"/>
      <c r="CFI213" s="275"/>
      <c r="CFJ213" s="275"/>
      <c r="CFK213" s="275"/>
      <c r="CFL213" s="275"/>
      <c r="CFM213" s="275"/>
      <c r="CFN213" s="275"/>
      <c r="CFO213" s="275"/>
      <c r="CFP213" s="275"/>
      <c r="CFQ213" s="275"/>
      <c r="CFR213" s="275"/>
      <c r="CFS213" s="275"/>
      <c r="CFT213" s="275"/>
      <c r="CFU213" s="275"/>
      <c r="CFV213" s="275"/>
      <c r="CFW213" s="275"/>
      <c r="CFX213" s="275"/>
      <c r="CFY213" s="275"/>
      <c r="CFZ213" s="275"/>
      <c r="CGA213" s="275"/>
      <c r="CGB213" s="275"/>
      <c r="CGC213" s="275"/>
      <c r="CGD213" s="275"/>
      <c r="CGE213" s="275"/>
      <c r="CGF213" s="275"/>
      <c r="CGG213" s="275"/>
      <c r="CGH213" s="275"/>
      <c r="CGI213" s="275"/>
      <c r="CGJ213" s="275"/>
      <c r="CGK213" s="275"/>
      <c r="CGL213" s="275"/>
      <c r="CGM213" s="275"/>
      <c r="CGN213" s="275"/>
      <c r="CGO213" s="275"/>
      <c r="CGP213" s="275"/>
      <c r="CGQ213" s="275"/>
      <c r="CGR213" s="275"/>
      <c r="CGS213" s="275"/>
      <c r="CGT213" s="275"/>
      <c r="CGU213" s="275"/>
      <c r="CGV213" s="275"/>
      <c r="CGW213" s="275"/>
      <c r="CGX213" s="275"/>
      <c r="CGY213" s="275"/>
      <c r="CGZ213" s="275"/>
      <c r="CHA213" s="275"/>
      <c r="CHB213" s="275"/>
      <c r="CHC213" s="275"/>
      <c r="CHD213" s="275"/>
      <c r="CHE213" s="275"/>
      <c r="CHF213" s="275"/>
      <c r="CHG213" s="275"/>
      <c r="CHH213" s="275"/>
      <c r="CHI213" s="275"/>
      <c r="CHJ213" s="275"/>
      <c r="CHK213" s="275"/>
      <c r="CHL213" s="275"/>
      <c r="CHM213" s="275"/>
      <c r="CHN213" s="275"/>
      <c r="CHO213" s="275"/>
      <c r="CHP213" s="275"/>
      <c r="CHQ213" s="275"/>
      <c r="CHR213" s="275"/>
      <c r="CHS213" s="275"/>
      <c r="CHT213" s="275"/>
      <c r="CHU213" s="275"/>
      <c r="CHV213" s="275"/>
      <c r="CHW213" s="275"/>
      <c r="CHX213" s="275"/>
      <c r="CHY213" s="275"/>
      <c r="CHZ213" s="275"/>
      <c r="CIA213" s="275"/>
      <c r="CIB213" s="275"/>
      <c r="CIC213" s="275"/>
      <c r="CID213" s="275"/>
      <c r="CIE213" s="275"/>
      <c r="CIF213" s="275"/>
      <c r="CIG213" s="275"/>
      <c r="CIH213" s="275"/>
      <c r="CII213" s="275"/>
      <c r="CIJ213" s="275"/>
      <c r="CIK213" s="275"/>
      <c r="CIL213" s="275"/>
      <c r="CIM213" s="275"/>
      <c r="CIN213" s="275"/>
      <c r="CIO213" s="275"/>
      <c r="CIP213" s="275"/>
      <c r="CIQ213" s="275"/>
      <c r="CIR213" s="275"/>
      <c r="CIS213" s="275"/>
      <c r="CIT213" s="275"/>
      <c r="CIU213" s="275"/>
      <c r="CIV213" s="275"/>
      <c r="CIW213" s="275"/>
      <c r="CIX213" s="275"/>
      <c r="CIY213" s="275"/>
      <c r="CIZ213" s="275"/>
      <c r="CJA213" s="275"/>
      <c r="CJB213" s="275"/>
      <c r="CJC213" s="275"/>
      <c r="CJD213" s="275"/>
      <c r="CJE213" s="275"/>
      <c r="CJF213" s="275"/>
      <c r="CJG213" s="275"/>
      <c r="CJH213" s="275"/>
      <c r="CJI213" s="275"/>
      <c r="CJJ213" s="275"/>
      <c r="CJK213" s="275"/>
      <c r="CJL213" s="275"/>
      <c r="CJM213" s="275"/>
      <c r="CJN213" s="275"/>
      <c r="CJO213" s="275"/>
      <c r="CJP213" s="275"/>
      <c r="CJQ213" s="275"/>
      <c r="CJR213" s="275"/>
      <c r="CJS213" s="275"/>
      <c r="CJT213" s="275"/>
      <c r="CJU213" s="275"/>
      <c r="CJV213" s="275"/>
      <c r="CJW213" s="275"/>
      <c r="CJX213" s="275"/>
      <c r="CJY213" s="275"/>
      <c r="CJZ213" s="275"/>
      <c r="CKA213" s="275"/>
      <c r="CKB213" s="275"/>
      <c r="CKC213" s="275"/>
      <c r="CKD213" s="275"/>
      <c r="CKE213" s="275"/>
      <c r="CKF213" s="275"/>
      <c r="CKG213" s="275"/>
      <c r="CKH213" s="275"/>
      <c r="CKI213" s="275"/>
      <c r="CKJ213" s="275"/>
      <c r="CKK213" s="275"/>
      <c r="CKL213" s="275"/>
      <c r="CKM213" s="275"/>
      <c r="CKN213" s="275"/>
      <c r="CKO213" s="275"/>
      <c r="CKP213" s="275"/>
      <c r="CKQ213" s="275"/>
      <c r="CKR213" s="275"/>
      <c r="CKS213" s="275"/>
      <c r="CKT213" s="275"/>
      <c r="CKU213" s="275"/>
      <c r="CKV213" s="275"/>
      <c r="CKW213" s="275"/>
      <c r="CKX213" s="275"/>
      <c r="CKY213" s="275"/>
      <c r="CKZ213" s="275"/>
      <c r="CLA213" s="275"/>
      <c r="CLB213" s="275"/>
      <c r="CLC213" s="275"/>
      <c r="CLD213" s="275"/>
      <c r="CLE213" s="275"/>
      <c r="CLF213" s="275"/>
      <c r="CLG213" s="275"/>
      <c r="CLH213" s="275"/>
      <c r="CLI213" s="275"/>
      <c r="CLJ213" s="275"/>
      <c r="CLK213" s="275"/>
      <c r="CLL213" s="275"/>
      <c r="CLM213" s="275"/>
      <c r="CLN213" s="275"/>
      <c r="CLO213" s="275"/>
      <c r="CLP213" s="275"/>
      <c r="CLQ213" s="275"/>
      <c r="CLR213" s="275"/>
      <c r="CLS213" s="275"/>
      <c r="CLT213" s="275"/>
      <c r="CLU213" s="275"/>
      <c r="CLV213" s="275"/>
      <c r="CLW213" s="275"/>
      <c r="CLX213" s="275"/>
      <c r="CLY213" s="275"/>
      <c r="CLZ213" s="275"/>
      <c r="CMA213" s="275"/>
      <c r="CMB213" s="275"/>
      <c r="CMC213" s="275"/>
      <c r="CMD213" s="275"/>
      <c r="CME213" s="275"/>
      <c r="CMF213" s="275"/>
      <c r="CMG213" s="275"/>
      <c r="CMH213" s="275"/>
      <c r="CMI213" s="275"/>
      <c r="CMJ213" s="275"/>
      <c r="CMK213" s="275"/>
      <c r="CML213" s="275"/>
      <c r="CMM213" s="275"/>
      <c r="CMN213" s="275"/>
      <c r="CMO213" s="275"/>
      <c r="CMP213" s="275"/>
      <c r="CMQ213" s="275"/>
      <c r="CMR213" s="275"/>
      <c r="CMS213" s="275"/>
      <c r="CMT213" s="275"/>
      <c r="CMU213" s="275"/>
      <c r="CMV213" s="275"/>
      <c r="CMW213" s="275"/>
      <c r="CMX213" s="275"/>
      <c r="CMY213" s="275"/>
      <c r="CMZ213" s="275"/>
      <c r="CNA213" s="275"/>
      <c r="CNB213" s="275"/>
      <c r="CNC213" s="275"/>
      <c r="CND213" s="275"/>
      <c r="CNE213" s="275"/>
      <c r="CNF213" s="275"/>
      <c r="CNG213" s="275"/>
      <c r="CNH213" s="275"/>
      <c r="CNI213" s="275"/>
      <c r="CNJ213" s="275"/>
      <c r="CNK213" s="275"/>
      <c r="CNL213" s="275"/>
      <c r="CNM213" s="275"/>
      <c r="CNN213" s="275"/>
      <c r="CNO213" s="275"/>
      <c r="CNP213" s="275"/>
      <c r="CNQ213" s="275"/>
      <c r="CNR213" s="275"/>
      <c r="CNS213" s="275"/>
      <c r="CNT213" s="275"/>
      <c r="CNU213" s="275"/>
      <c r="CNV213" s="275"/>
      <c r="CNW213" s="275"/>
      <c r="CNX213" s="275"/>
      <c r="CNY213" s="275"/>
      <c r="CNZ213" s="275"/>
      <c r="COA213" s="275"/>
      <c r="COB213" s="275"/>
      <c r="COC213" s="275"/>
      <c r="COD213" s="275"/>
      <c r="COE213" s="275"/>
      <c r="COF213" s="275"/>
      <c r="COG213" s="275"/>
      <c r="COH213" s="275"/>
      <c r="COI213" s="275"/>
      <c r="COJ213" s="275"/>
      <c r="COK213" s="275"/>
      <c r="COL213" s="275"/>
      <c r="COM213" s="275"/>
      <c r="CON213" s="275"/>
      <c r="COO213" s="275"/>
      <c r="COP213" s="275"/>
      <c r="COQ213" s="275"/>
      <c r="COR213" s="275"/>
      <c r="COS213" s="275"/>
      <c r="COT213" s="275"/>
      <c r="COU213" s="275"/>
      <c r="COV213" s="275"/>
      <c r="COW213" s="275"/>
      <c r="COX213" s="275"/>
      <c r="COY213" s="275"/>
      <c r="COZ213" s="275"/>
      <c r="CPA213" s="275"/>
      <c r="CPB213" s="275"/>
      <c r="CPC213" s="275"/>
      <c r="CPD213" s="275"/>
      <c r="CPE213" s="275"/>
      <c r="CPF213" s="275"/>
      <c r="CPG213" s="275"/>
      <c r="CPH213" s="275"/>
      <c r="CPI213" s="275"/>
      <c r="CPJ213" s="275"/>
      <c r="CPK213" s="275"/>
      <c r="CPL213" s="275"/>
      <c r="CPM213" s="275"/>
      <c r="CPN213" s="275"/>
      <c r="CPO213" s="275"/>
      <c r="CPP213" s="275"/>
      <c r="CPQ213" s="275"/>
      <c r="CPR213" s="275"/>
      <c r="CPS213" s="275"/>
      <c r="CPT213" s="275"/>
      <c r="CPU213" s="275"/>
      <c r="CPV213" s="275"/>
      <c r="CPW213" s="275"/>
      <c r="CPX213" s="275"/>
      <c r="CPY213" s="275"/>
      <c r="CPZ213" s="275"/>
      <c r="CQA213" s="275"/>
      <c r="CQB213" s="275"/>
      <c r="CQC213" s="275"/>
      <c r="CQD213" s="275"/>
      <c r="CQE213" s="275"/>
      <c r="CQF213" s="275"/>
      <c r="CQG213" s="275"/>
      <c r="CQH213" s="275"/>
      <c r="CQI213" s="275"/>
      <c r="CQJ213" s="275"/>
      <c r="CQK213" s="275"/>
      <c r="CQL213" s="275"/>
      <c r="CQM213" s="275"/>
      <c r="CQN213" s="275"/>
      <c r="CQO213" s="275"/>
      <c r="CQP213" s="275"/>
      <c r="CQQ213" s="275"/>
      <c r="CQR213" s="275"/>
      <c r="CQS213" s="275"/>
      <c r="CQT213" s="275"/>
      <c r="CQU213" s="275"/>
      <c r="CQV213" s="275"/>
      <c r="CQW213" s="275"/>
      <c r="CQX213" s="275"/>
      <c r="CQY213" s="275"/>
      <c r="CQZ213" s="275"/>
      <c r="CRA213" s="275"/>
      <c r="CRB213" s="275"/>
      <c r="CRC213" s="275"/>
      <c r="CRD213" s="275"/>
      <c r="CRE213" s="275"/>
      <c r="CRF213" s="275"/>
      <c r="CRG213" s="275"/>
      <c r="CRH213" s="275"/>
      <c r="CRI213" s="275"/>
      <c r="CRJ213" s="275"/>
      <c r="CRK213" s="275"/>
      <c r="CRL213" s="275"/>
      <c r="CRM213" s="275"/>
      <c r="CRN213" s="275"/>
      <c r="CRO213" s="275"/>
      <c r="CRP213" s="275"/>
      <c r="CRQ213" s="275"/>
      <c r="CRR213" s="275"/>
      <c r="CRS213" s="275"/>
      <c r="CRT213" s="275"/>
      <c r="CRU213" s="275"/>
      <c r="CRV213" s="275"/>
      <c r="CRW213" s="275"/>
      <c r="CRX213" s="275"/>
      <c r="CRY213" s="275"/>
      <c r="CRZ213" s="275"/>
      <c r="CSA213" s="275"/>
      <c r="CSB213" s="275"/>
      <c r="CSC213" s="275"/>
      <c r="CSD213" s="275"/>
      <c r="CSE213" s="275"/>
      <c r="CSF213" s="275"/>
      <c r="CSG213" s="275"/>
      <c r="CSH213" s="275"/>
      <c r="CSI213" s="275"/>
      <c r="CSJ213" s="275"/>
      <c r="CSK213" s="275"/>
      <c r="CSL213" s="275"/>
      <c r="CSM213" s="275"/>
      <c r="CSN213" s="275"/>
      <c r="CSO213" s="275"/>
      <c r="CSP213" s="275"/>
      <c r="CSQ213" s="275"/>
      <c r="CSR213" s="275"/>
      <c r="CSS213" s="275"/>
      <c r="CST213" s="275"/>
      <c r="CSU213" s="275"/>
      <c r="CSV213" s="275"/>
      <c r="CSW213" s="275"/>
      <c r="CSX213" s="275"/>
      <c r="CSY213" s="275"/>
      <c r="CSZ213" s="275"/>
      <c r="CTA213" s="275"/>
      <c r="CTB213" s="275"/>
      <c r="CTC213" s="275"/>
      <c r="CTD213" s="275"/>
      <c r="CTE213" s="275"/>
      <c r="CTF213" s="275"/>
      <c r="CTG213" s="275"/>
      <c r="CTH213" s="275"/>
      <c r="CTI213" s="275"/>
      <c r="CTJ213" s="275"/>
      <c r="CTK213" s="275"/>
      <c r="CTL213" s="275"/>
      <c r="CTM213" s="275"/>
      <c r="CTN213" s="275"/>
      <c r="CTO213" s="275"/>
      <c r="CTP213" s="275"/>
      <c r="CTQ213" s="275"/>
      <c r="CTR213" s="275"/>
      <c r="CTS213" s="275"/>
      <c r="CTT213" s="275"/>
      <c r="CTU213" s="275"/>
      <c r="CTV213" s="275"/>
      <c r="CTW213" s="275"/>
      <c r="CTX213" s="275"/>
      <c r="CTY213" s="275"/>
      <c r="CTZ213" s="275"/>
      <c r="CUA213" s="275"/>
      <c r="CUB213" s="275"/>
      <c r="CUC213" s="275"/>
      <c r="CUD213" s="275"/>
      <c r="CUE213" s="275"/>
      <c r="CUF213" s="275"/>
      <c r="CUG213" s="275"/>
      <c r="CUH213" s="275"/>
      <c r="CUI213" s="275"/>
      <c r="CUJ213" s="275"/>
      <c r="CUK213" s="275"/>
      <c r="CUL213" s="275"/>
      <c r="CUM213" s="275"/>
      <c r="CUN213" s="275"/>
      <c r="CUO213" s="275"/>
      <c r="CUP213" s="275"/>
      <c r="CUQ213" s="275"/>
      <c r="CUR213" s="275"/>
      <c r="CUS213" s="275"/>
      <c r="CUT213" s="275"/>
      <c r="CUU213" s="275"/>
      <c r="CUV213" s="275"/>
      <c r="CUW213" s="275"/>
      <c r="CUX213" s="275"/>
      <c r="CUY213" s="275"/>
      <c r="CUZ213" s="275"/>
      <c r="CVA213" s="275"/>
      <c r="CVB213" s="275"/>
      <c r="CVC213" s="275"/>
      <c r="CVD213" s="275"/>
      <c r="CVE213" s="275"/>
      <c r="CVF213" s="275"/>
      <c r="CVG213" s="275"/>
      <c r="CVH213" s="275"/>
      <c r="CVI213" s="275"/>
      <c r="CVJ213" s="275"/>
      <c r="CVK213" s="275"/>
      <c r="CVL213" s="275"/>
      <c r="CVM213" s="275"/>
      <c r="CVN213" s="275"/>
      <c r="CVO213" s="275"/>
      <c r="CVP213" s="275"/>
      <c r="CVQ213" s="275"/>
      <c r="CVR213" s="275"/>
      <c r="CVS213" s="275"/>
      <c r="CVT213" s="275"/>
      <c r="CVU213" s="275"/>
      <c r="CVV213" s="275"/>
      <c r="CVW213" s="275"/>
      <c r="CVX213" s="275"/>
      <c r="CVY213" s="275"/>
      <c r="CVZ213" s="275"/>
      <c r="CWA213" s="275"/>
      <c r="CWB213" s="275"/>
      <c r="CWC213" s="275"/>
      <c r="CWD213" s="275"/>
      <c r="CWE213" s="275"/>
      <c r="CWF213" s="275"/>
      <c r="CWG213" s="275"/>
      <c r="CWH213" s="275"/>
      <c r="CWI213" s="275"/>
      <c r="CWJ213" s="275"/>
      <c r="CWK213" s="275"/>
      <c r="CWL213" s="275"/>
      <c r="CWM213" s="275"/>
      <c r="CWN213" s="275"/>
      <c r="CWO213" s="275"/>
      <c r="CWP213" s="275"/>
      <c r="CWQ213" s="275"/>
      <c r="CWR213" s="275"/>
      <c r="CWS213" s="275"/>
      <c r="CWT213" s="275"/>
      <c r="CWU213" s="275"/>
      <c r="CWV213" s="275"/>
      <c r="CWW213" s="275"/>
      <c r="CWX213" s="275"/>
      <c r="CWY213" s="275"/>
      <c r="CWZ213" s="275"/>
      <c r="CXA213" s="275"/>
      <c r="CXB213" s="275"/>
      <c r="CXC213" s="275"/>
      <c r="CXD213" s="275"/>
      <c r="CXE213" s="275"/>
      <c r="CXF213" s="275"/>
      <c r="CXG213" s="275"/>
      <c r="CXH213" s="275"/>
      <c r="CXI213" s="275"/>
      <c r="CXJ213" s="275"/>
      <c r="CXK213" s="275"/>
      <c r="CXL213" s="275"/>
      <c r="CXM213" s="275"/>
      <c r="CXN213" s="275"/>
      <c r="CXO213" s="275"/>
      <c r="CXP213" s="275"/>
      <c r="CXQ213" s="275"/>
      <c r="CXR213" s="275"/>
      <c r="CXS213" s="275"/>
      <c r="CXT213" s="275"/>
      <c r="CXU213" s="275"/>
      <c r="CXV213" s="275"/>
      <c r="CXW213" s="275"/>
      <c r="CXX213" s="275"/>
      <c r="CXY213" s="275"/>
      <c r="CXZ213" s="275"/>
      <c r="CYA213" s="275"/>
      <c r="CYB213" s="275"/>
      <c r="CYC213" s="275"/>
      <c r="CYD213" s="275"/>
      <c r="CYE213" s="275"/>
      <c r="CYF213" s="275"/>
      <c r="CYG213" s="275"/>
      <c r="CYH213" s="275"/>
      <c r="CYI213" s="275"/>
      <c r="CYJ213" s="275"/>
      <c r="CYK213" s="275"/>
      <c r="CYL213" s="275"/>
      <c r="CYM213" s="275"/>
      <c r="CYN213" s="275"/>
      <c r="CYO213" s="275"/>
      <c r="CYP213" s="275"/>
      <c r="CYQ213" s="275"/>
      <c r="CYR213" s="275"/>
      <c r="CYS213" s="275"/>
      <c r="CYT213" s="275"/>
      <c r="CYU213" s="275"/>
      <c r="CYV213" s="275"/>
      <c r="CYW213" s="275"/>
      <c r="CYX213" s="275"/>
      <c r="CYY213" s="275"/>
      <c r="CYZ213" s="275"/>
      <c r="CZA213" s="275"/>
      <c r="CZB213" s="275"/>
      <c r="CZC213" s="275"/>
      <c r="CZD213" s="275"/>
      <c r="CZE213" s="275"/>
      <c r="CZF213" s="275"/>
      <c r="CZG213" s="275"/>
      <c r="CZH213" s="275"/>
      <c r="CZI213" s="275"/>
      <c r="CZJ213" s="275"/>
      <c r="CZK213" s="275"/>
      <c r="CZL213" s="275"/>
      <c r="CZM213" s="275"/>
      <c r="CZN213" s="275"/>
      <c r="CZO213" s="275"/>
      <c r="CZP213" s="275"/>
      <c r="CZQ213" s="275"/>
      <c r="CZR213" s="275"/>
      <c r="CZS213" s="275"/>
      <c r="CZT213" s="275"/>
      <c r="CZU213" s="275"/>
      <c r="CZV213" s="275"/>
      <c r="CZW213" s="275"/>
      <c r="CZX213" s="275"/>
      <c r="CZY213" s="275"/>
      <c r="CZZ213" s="275"/>
      <c r="DAA213" s="275"/>
      <c r="DAB213" s="275"/>
      <c r="DAC213" s="275"/>
      <c r="DAD213" s="275"/>
      <c r="DAE213" s="275"/>
      <c r="DAF213" s="275"/>
      <c r="DAG213" s="275"/>
      <c r="DAH213" s="275"/>
      <c r="DAI213" s="275"/>
      <c r="DAJ213" s="275"/>
      <c r="DAK213" s="275"/>
      <c r="DAL213" s="275"/>
      <c r="DAM213" s="275"/>
      <c r="DAN213" s="275"/>
      <c r="DAO213" s="275"/>
      <c r="DAP213" s="275"/>
      <c r="DAQ213" s="275"/>
      <c r="DAR213" s="275"/>
      <c r="DAS213" s="275"/>
      <c r="DAT213" s="275"/>
      <c r="DAU213" s="275"/>
      <c r="DAV213" s="275"/>
      <c r="DAW213" s="275"/>
      <c r="DAX213" s="275"/>
      <c r="DAY213" s="275"/>
      <c r="DAZ213" s="275"/>
      <c r="DBA213" s="275"/>
      <c r="DBB213" s="275"/>
      <c r="DBC213" s="275"/>
      <c r="DBD213" s="275"/>
      <c r="DBE213" s="275"/>
      <c r="DBF213" s="275"/>
      <c r="DBG213" s="275"/>
      <c r="DBH213" s="275"/>
      <c r="DBI213" s="275"/>
      <c r="DBJ213" s="275"/>
      <c r="DBK213" s="275"/>
      <c r="DBL213" s="275"/>
      <c r="DBM213" s="275"/>
      <c r="DBN213" s="275"/>
      <c r="DBO213" s="275"/>
      <c r="DBP213" s="275"/>
      <c r="DBQ213" s="275"/>
      <c r="DBR213" s="275"/>
      <c r="DBS213" s="275"/>
      <c r="DBT213" s="275"/>
      <c r="DBU213" s="275"/>
      <c r="DBV213" s="275"/>
      <c r="DBW213" s="275"/>
      <c r="DBX213" s="275"/>
      <c r="DBY213" s="275"/>
      <c r="DBZ213" s="275"/>
      <c r="DCA213" s="275"/>
      <c r="DCB213" s="275"/>
      <c r="DCC213" s="275"/>
      <c r="DCD213" s="275"/>
      <c r="DCE213" s="275"/>
      <c r="DCF213" s="275"/>
      <c r="DCG213" s="275"/>
      <c r="DCH213" s="275"/>
      <c r="DCI213" s="275"/>
      <c r="DCJ213" s="275"/>
      <c r="DCK213" s="275"/>
      <c r="DCL213" s="275"/>
      <c r="DCM213" s="275"/>
      <c r="DCN213" s="275"/>
      <c r="DCO213" s="275"/>
      <c r="DCP213" s="275"/>
      <c r="DCQ213" s="275"/>
      <c r="DCR213" s="275"/>
      <c r="DCS213" s="275"/>
      <c r="DCT213" s="275"/>
      <c r="DCU213" s="275"/>
      <c r="DCV213" s="275"/>
      <c r="DCW213" s="275"/>
      <c r="DCX213" s="275"/>
      <c r="DCY213" s="275"/>
      <c r="DCZ213" s="275"/>
      <c r="DDA213" s="275"/>
      <c r="DDB213" s="275"/>
      <c r="DDC213" s="275"/>
      <c r="DDD213" s="275"/>
      <c r="DDE213" s="275"/>
      <c r="DDF213" s="275"/>
      <c r="DDG213" s="275"/>
      <c r="DDH213" s="275"/>
      <c r="DDI213" s="275"/>
      <c r="DDJ213" s="275"/>
      <c r="DDK213" s="275"/>
      <c r="DDL213" s="275"/>
      <c r="DDM213" s="275"/>
      <c r="DDN213" s="275"/>
      <c r="DDO213" s="275"/>
      <c r="DDP213" s="275"/>
      <c r="DDQ213" s="275"/>
      <c r="DDR213" s="275"/>
      <c r="DDS213" s="275"/>
      <c r="DDT213" s="275"/>
      <c r="DDU213" s="275"/>
      <c r="DDV213" s="275"/>
      <c r="DDW213" s="275"/>
      <c r="DDX213" s="275"/>
      <c r="DDY213" s="275"/>
      <c r="DDZ213" s="275"/>
      <c r="DEA213" s="275"/>
      <c r="DEB213" s="275"/>
      <c r="DEC213" s="275"/>
      <c r="DED213" s="275"/>
      <c r="DEE213" s="275"/>
      <c r="DEF213" s="275"/>
      <c r="DEG213" s="275"/>
      <c r="DEH213" s="275"/>
      <c r="DEI213" s="275"/>
      <c r="DEJ213" s="275"/>
      <c r="DEK213" s="275"/>
      <c r="DEL213" s="275"/>
      <c r="DEM213" s="275"/>
      <c r="DEN213" s="275"/>
      <c r="DEO213" s="275"/>
      <c r="DEP213" s="275"/>
      <c r="DEQ213" s="275"/>
      <c r="DER213" s="275"/>
      <c r="DES213" s="275"/>
      <c r="DET213" s="275"/>
      <c r="DEU213" s="275"/>
      <c r="DEV213" s="275"/>
      <c r="DEW213" s="275"/>
      <c r="DEX213" s="275"/>
      <c r="DEY213" s="275"/>
      <c r="DEZ213" s="275"/>
      <c r="DFA213" s="275"/>
      <c r="DFB213" s="275"/>
      <c r="DFC213" s="275"/>
      <c r="DFD213" s="275"/>
      <c r="DFE213" s="275"/>
      <c r="DFF213" s="275"/>
      <c r="DFG213" s="275"/>
      <c r="DFH213" s="275"/>
      <c r="DFI213" s="275"/>
      <c r="DFJ213" s="275"/>
      <c r="DFK213" s="275"/>
      <c r="DFL213" s="275"/>
      <c r="DFM213" s="275"/>
      <c r="DFN213" s="275"/>
      <c r="DFO213" s="275"/>
      <c r="DFP213" s="275"/>
      <c r="DFQ213" s="275"/>
      <c r="DFR213" s="275"/>
      <c r="DFS213" s="275"/>
      <c r="DFT213" s="275"/>
      <c r="DFU213" s="275"/>
      <c r="DFV213" s="275"/>
      <c r="DFW213" s="275"/>
      <c r="DFX213" s="275"/>
      <c r="DFY213" s="275"/>
      <c r="DFZ213" s="275"/>
      <c r="DGA213" s="275"/>
      <c r="DGB213" s="275"/>
      <c r="DGC213" s="275"/>
      <c r="DGD213" s="275"/>
      <c r="DGE213" s="275"/>
      <c r="DGF213" s="275"/>
      <c r="DGG213" s="275"/>
      <c r="DGH213" s="275"/>
      <c r="DGI213" s="275"/>
      <c r="DGJ213" s="275"/>
      <c r="DGK213" s="275"/>
      <c r="DGL213" s="275"/>
      <c r="DGM213" s="275"/>
      <c r="DGN213" s="275"/>
      <c r="DGO213" s="275"/>
      <c r="DGP213" s="275"/>
      <c r="DGQ213" s="275"/>
      <c r="DGR213" s="275"/>
      <c r="DGS213" s="275"/>
      <c r="DGT213" s="275"/>
      <c r="DGU213" s="275"/>
      <c r="DGV213" s="275"/>
      <c r="DGW213" s="275"/>
      <c r="DGX213" s="275"/>
      <c r="DGY213" s="275"/>
      <c r="DGZ213" s="275"/>
      <c r="DHA213" s="275"/>
      <c r="DHB213" s="275"/>
      <c r="DHC213" s="275"/>
      <c r="DHD213" s="275"/>
      <c r="DHE213" s="275"/>
      <c r="DHF213" s="275"/>
      <c r="DHG213" s="275"/>
      <c r="DHH213" s="275"/>
      <c r="DHI213" s="275"/>
      <c r="DHJ213" s="275"/>
      <c r="DHK213" s="275"/>
      <c r="DHL213" s="275"/>
      <c r="DHM213" s="275"/>
      <c r="DHN213" s="275"/>
      <c r="DHO213" s="275"/>
      <c r="DHP213" s="275"/>
      <c r="DHQ213" s="275"/>
      <c r="DHR213" s="275"/>
      <c r="DHS213" s="275"/>
      <c r="DHT213" s="275"/>
      <c r="DHU213" s="275"/>
      <c r="DHV213" s="275"/>
      <c r="DHW213" s="275"/>
      <c r="DHX213" s="275"/>
      <c r="DHY213" s="275"/>
      <c r="DHZ213" s="275"/>
      <c r="DIA213" s="275"/>
      <c r="DIB213" s="275"/>
      <c r="DIC213" s="275"/>
      <c r="DID213" s="275"/>
      <c r="DIE213" s="275"/>
      <c r="DIF213" s="275"/>
      <c r="DIG213" s="275"/>
      <c r="DIH213" s="275"/>
      <c r="DII213" s="275"/>
      <c r="DIJ213" s="275"/>
      <c r="DIK213" s="275"/>
      <c r="DIL213" s="275"/>
      <c r="DIM213" s="275"/>
      <c r="DIN213" s="275"/>
      <c r="DIO213" s="275"/>
      <c r="DIP213" s="275"/>
      <c r="DIQ213" s="275"/>
      <c r="DIR213" s="275"/>
      <c r="DIS213" s="275"/>
      <c r="DIT213" s="275"/>
      <c r="DIU213" s="275"/>
      <c r="DIV213" s="275"/>
      <c r="DIW213" s="275"/>
      <c r="DIX213" s="275"/>
      <c r="DIY213" s="275"/>
      <c r="DIZ213" s="275"/>
      <c r="DJA213" s="275"/>
      <c r="DJB213" s="275"/>
      <c r="DJC213" s="275"/>
      <c r="DJD213" s="275"/>
      <c r="DJE213" s="275"/>
      <c r="DJF213" s="275"/>
      <c r="DJG213" s="275"/>
      <c r="DJH213" s="275"/>
      <c r="DJI213" s="275"/>
      <c r="DJJ213" s="275"/>
      <c r="DJK213" s="275"/>
      <c r="DJL213" s="275"/>
      <c r="DJM213" s="275"/>
      <c r="DJN213" s="275"/>
      <c r="DJO213" s="275"/>
      <c r="DJP213" s="275"/>
      <c r="DJQ213" s="275"/>
      <c r="DJR213" s="275"/>
      <c r="DJS213" s="275"/>
      <c r="DJT213" s="275"/>
      <c r="DJU213" s="275"/>
      <c r="DJV213" s="275"/>
      <c r="DJW213" s="275"/>
      <c r="DJX213" s="275"/>
      <c r="DJY213" s="275"/>
      <c r="DJZ213" s="275"/>
      <c r="DKA213" s="275"/>
      <c r="DKB213" s="275"/>
      <c r="DKC213" s="275"/>
      <c r="DKD213" s="275"/>
      <c r="DKE213" s="275"/>
      <c r="DKF213" s="275"/>
      <c r="DKG213" s="275"/>
      <c r="DKH213" s="275"/>
      <c r="DKI213" s="275"/>
      <c r="DKJ213" s="275"/>
      <c r="DKK213" s="275"/>
      <c r="DKL213" s="275"/>
      <c r="DKM213" s="275"/>
      <c r="DKN213" s="275"/>
      <c r="DKO213" s="275"/>
      <c r="DKP213" s="275"/>
      <c r="DKQ213" s="275"/>
      <c r="DKR213" s="275"/>
      <c r="DKS213" s="275"/>
      <c r="DKT213" s="275"/>
      <c r="DKU213" s="275"/>
      <c r="DKV213" s="275"/>
      <c r="DKW213" s="275"/>
      <c r="DKX213" s="275"/>
      <c r="DKY213" s="275"/>
      <c r="DKZ213" s="275"/>
      <c r="DLA213" s="275"/>
      <c r="DLB213" s="275"/>
      <c r="DLC213" s="275"/>
      <c r="DLD213" s="275"/>
      <c r="DLE213" s="275"/>
      <c r="DLF213" s="275"/>
      <c r="DLG213" s="275"/>
      <c r="DLH213" s="275"/>
      <c r="DLI213" s="275"/>
      <c r="DLJ213" s="275"/>
      <c r="DLK213" s="275"/>
      <c r="DLL213" s="275"/>
      <c r="DLM213" s="275"/>
      <c r="DLN213" s="275"/>
      <c r="DLO213" s="275"/>
      <c r="DLP213" s="275"/>
      <c r="DLQ213" s="275"/>
      <c r="DLR213" s="275"/>
      <c r="DLS213" s="275"/>
      <c r="DLT213" s="275"/>
      <c r="DLU213" s="275"/>
      <c r="DLV213" s="275"/>
      <c r="DLW213" s="275"/>
      <c r="DLX213" s="275"/>
      <c r="DLY213" s="275"/>
      <c r="DLZ213" s="275"/>
      <c r="DMA213" s="275"/>
      <c r="DMB213" s="275"/>
      <c r="DMC213" s="275"/>
      <c r="DMD213" s="275"/>
      <c r="DME213" s="275"/>
      <c r="DMF213" s="275"/>
      <c r="DMG213" s="275"/>
      <c r="DMH213" s="275"/>
      <c r="DMI213" s="275"/>
      <c r="DMJ213" s="275"/>
      <c r="DMK213" s="275"/>
      <c r="DML213" s="275"/>
      <c r="DMM213" s="275"/>
      <c r="DMN213" s="275"/>
      <c r="DMO213" s="275"/>
      <c r="DMP213" s="275"/>
      <c r="DMQ213" s="275"/>
      <c r="DMR213" s="275"/>
      <c r="DMS213" s="275"/>
      <c r="DMT213" s="275"/>
      <c r="DMU213" s="275"/>
      <c r="DMV213" s="275"/>
      <c r="DMW213" s="275"/>
      <c r="DMX213" s="275"/>
      <c r="DMY213" s="275"/>
      <c r="DMZ213" s="275"/>
      <c r="DNA213" s="275"/>
      <c r="DNB213" s="275"/>
      <c r="DNC213" s="275"/>
      <c r="DND213" s="275"/>
      <c r="DNE213" s="275"/>
      <c r="DNF213" s="275"/>
      <c r="DNG213" s="275"/>
      <c r="DNH213" s="275"/>
      <c r="DNI213" s="275"/>
      <c r="DNJ213" s="275"/>
      <c r="DNK213" s="275"/>
      <c r="DNL213" s="275"/>
      <c r="DNM213" s="275"/>
      <c r="DNN213" s="275"/>
      <c r="DNO213" s="275"/>
      <c r="DNP213" s="275"/>
      <c r="DNQ213" s="275"/>
      <c r="DNR213" s="275"/>
      <c r="DNS213" s="275"/>
      <c r="DNT213" s="275"/>
      <c r="DNU213" s="275"/>
      <c r="DNV213" s="275"/>
      <c r="DNW213" s="275"/>
      <c r="DNX213" s="275"/>
      <c r="DNY213" s="275"/>
      <c r="DNZ213" s="275"/>
      <c r="DOA213" s="275"/>
      <c r="DOB213" s="275"/>
      <c r="DOC213" s="275"/>
      <c r="DOD213" s="275"/>
      <c r="DOE213" s="275"/>
      <c r="DOF213" s="275"/>
      <c r="DOG213" s="275"/>
      <c r="DOH213" s="275"/>
      <c r="DOI213" s="275"/>
      <c r="DOJ213" s="275"/>
      <c r="DOK213" s="275"/>
      <c r="DOL213" s="275"/>
      <c r="DOM213" s="275"/>
      <c r="DON213" s="275"/>
      <c r="DOO213" s="275"/>
      <c r="DOP213" s="275"/>
      <c r="DOQ213" s="275"/>
      <c r="DOR213" s="275"/>
      <c r="DOS213" s="275"/>
      <c r="DOT213" s="275"/>
      <c r="DOU213" s="275"/>
      <c r="DOV213" s="275"/>
      <c r="DOW213" s="275"/>
      <c r="DOX213" s="275"/>
      <c r="DOY213" s="275"/>
      <c r="DOZ213" s="275"/>
      <c r="DPA213" s="275"/>
      <c r="DPB213" s="275"/>
      <c r="DPC213" s="275"/>
      <c r="DPD213" s="275"/>
      <c r="DPE213" s="275"/>
      <c r="DPF213" s="275"/>
      <c r="DPG213" s="275"/>
      <c r="DPH213" s="275"/>
      <c r="DPI213" s="275"/>
      <c r="DPJ213" s="275"/>
      <c r="DPK213" s="275"/>
      <c r="DPL213" s="275"/>
      <c r="DPM213" s="275"/>
      <c r="DPN213" s="275"/>
      <c r="DPO213" s="275"/>
      <c r="DPP213" s="275"/>
      <c r="DPQ213" s="275"/>
      <c r="DPR213" s="275"/>
      <c r="DPS213" s="275"/>
      <c r="DPT213" s="275"/>
      <c r="DPU213" s="275"/>
      <c r="DPV213" s="275"/>
      <c r="DPW213" s="275"/>
      <c r="DPX213" s="275"/>
      <c r="DPY213" s="275"/>
      <c r="DPZ213" s="275"/>
      <c r="DQA213" s="275"/>
      <c r="DQB213" s="275"/>
      <c r="DQC213" s="275"/>
      <c r="DQD213" s="275"/>
      <c r="DQE213" s="275"/>
      <c r="DQF213" s="275"/>
      <c r="DQG213" s="275"/>
      <c r="DQH213" s="275"/>
      <c r="DQI213" s="275"/>
      <c r="DQJ213" s="275"/>
      <c r="DQK213" s="275"/>
      <c r="DQL213" s="275"/>
      <c r="DQM213" s="275"/>
      <c r="DQN213" s="275"/>
      <c r="DQO213" s="275"/>
      <c r="DQP213" s="275"/>
      <c r="DQQ213" s="275"/>
      <c r="DQR213" s="275"/>
      <c r="DQS213" s="275"/>
      <c r="DQT213" s="275"/>
      <c r="DQU213" s="275"/>
      <c r="DQV213" s="275"/>
      <c r="DQW213" s="275"/>
      <c r="DQX213" s="275"/>
      <c r="DQY213" s="275"/>
      <c r="DQZ213" s="275"/>
      <c r="DRA213" s="275"/>
      <c r="DRB213" s="275"/>
      <c r="DRC213" s="275"/>
      <c r="DRD213" s="275"/>
      <c r="DRE213" s="275"/>
      <c r="DRF213" s="275"/>
      <c r="DRG213" s="275"/>
      <c r="DRH213" s="275"/>
      <c r="DRI213" s="275"/>
      <c r="DRJ213" s="275"/>
      <c r="DRK213" s="275"/>
      <c r="DRL213" s="275"/>
      <c r="DRM213" s="275"/>
      <c r="DRN213" s="275"/>
      <c r="DRO213" s="275"/>
      <c r="DRP213" s="275"/>
      <c r="DRQ213" s="275"/>
      <c r="DRR213" s="275"/>
      <c r="DRS213" s="275"/>
      <c r="DRT213" s="275"/>
      <c r="DRU213" s="275"/>
      <c r="DRV213" s="275"/>
      <c r="DRW213" s="275"/>
      <c r="DRX213" s="275"/>
      <c r="DRY213" s="275"/>
      <c r="DRZ213" s="275"/>
      <c r="DSA213" s="275"/>
      <c r="DSB213" s="275"/>
      <c r="DSC213" s="275"/>
      <c r="DSD213" s="275"/>
      <c r="DSE213" s="275"/>
      <c r="DSF213" s="275"/>
      <c r="DSG213" s="275"/>
      <c r="DSH213" s="275"/>
      <c r="DSI213" s="275"/>
      <c r="DSJ213" s="275"/>
      <c r="DSK213" s="275"/>
      <c r="DSL213" s="275"/>
      <c r="DSM213" s="275"/>
      <c r="DSN213" s="275"/>
      <c r="DSO213" s="275"/>
      <c r="DSP213" s="275"/>
      <c r="DSQ213" s="275"/>
      <c r="DSR213" s="275"/>
      <c r="DSS213" s="275"/>
      <c r="DST213" s="275"/>
      <c r="DSU213" s="275"/>
      <c r="DSV213" s="275"/>
      <c r="DSW213" s="275"/>
      <c r="DSX213" s="275"/>
      <c r="DSY213" s="275"/>
      <c r="DSZ213" s="275"/>
      <c r="DTA213" s="275"/>
      <c r="DTB213" s="275"/>
      <c r="DTC213" s="275"/>
      <c r="DTD213" s="275"/>
      <c r="DTE213" s="275"/>
      <c r="DTF213" s="275"/>
      <c r="DTG213" s="275"/>
      <c r="DTH213" s="275"/>
      <c r="DTI213" s="275"/>
      <c r="DTJ213" s="275"/>
      <c r="DTK213" s="275"/>
      <c r="DTL213" s="275"/>
      <c r="DTM213" s="275"/>
      <c r="DTN213" s="275"/>
      <c r="DTO213" s="275"/>
      <c r="DTP213" s="275"/>
      <c r="DTQ213" s="275"/>
      <c r="DTR213" s="275"/>
      <c r="DTS213" s="275"/>
      <c r="DTT213" s="275"/>
      <c r="DTU213" s="275"/>
      <c r="DTV213" s="275"/>
      <c r="DTW213" s="275"/>
      <c r="DTX213" s="275"/>
      <c r="DTY213" s="275"/>
      <c r="DTZ213" s="275"/>
      <c r="DUA213" s="275"/>
      <c r="DUB213" s="275"/>
      <c r="DUC213" s="275"/>
      <c r="DUD213" s="275"/>
      <c r="DUE213" s="275"/>
      <c r="DUF213" s="275"/>
      <c r="DUG213" s="275"/>
      <c r="DUH213" s="275"/>
      <c r="DUI213" s="275"/>
      <c r="DUJ213" s="275"/>
      <c r="DUK213" s="275"/>
      <c r="DUL213" s="275"/>
      <c r="DUM213" s="275"/>
      <c r="DUN213" s="275"/>
      <c r="DUO213" s="275"/>
      <c r="DUP213" s="275"/>
      <c r="DUQ213" s="275"/>
      <c r="DUR213" s="275"/>
      <c r="DUS213" s="275"/>
      <c r="DUT213" s="275"/>
      <c r="DUU213" s="275"/>
      <c r="DUV213" s="275"/>
      <c r="DUW213" s="275"/>
      <c r="DUX213" s="275"/>
      <c r="DUY213" s="275"/>
      <c r="DUZ213" s="275"/>
      <c r="DVA213" s="275"/>
      <c r="DVB213" s="275"/>
      <c r="DVC213" s="275"/>
      <c r="DVD213" s="275"/>
      <c r="DVE213" s="275"/>
      <c r="DVF213" s="275"/>
      <c r="DVG213" s="275"/>
      <c r="DVH213" s="275"/>
      <c r="DVI213" s="275"/>
      <c r="DVJ213" s="275"/>
      <c r="DVK213" s="275"/>
      <c r="DVL213" s="275"/>
      <c r="DVM213" s="275"/>
      <c r="DVN213" s="275"/>
      <c r="DVO213" s="275"/>
      <c r="DVP213" s="275"/>
      <c r="DVQ213" s="275"/>
      <c r="DVR213" s="275"/>
      <c r="DVS213" s="275"/>
      <c r="DVT213" s="275"/>
      <c r="DVU213" s="275"/>
      <c r="DVV213" s="275"/>
      <c r="DVW213" s="275"/>
      <c r="DVX213" s="275"/>
      <c r="DVY213" s="275"/>
      <c r="DVZ213" s="275"/>
      <c r="DWA213" s="275"/>
      <c r="DWB213" s="275"/>
      <c r="DWC213" s="275"/>
      <c r="DWD213" s="275"/>
      <c r="DWE213" s="275"/>
      <c r="DWF213" s="275"/>
      <c r="DWG213" s="275"/>
      <c r="DWH213" s="275"/>
      <c r="DWI213" s="275"/>
      <c r="DWJ213" s="275"/>
      <c r="DWK213" s="275"/>
      <c r="DWL213" s="275"/>
      <c r="DWM213" s="275"/>
      <c r="DWN213" s="275"/>
      <c r="DWO213" s="275"/>
      <c r="DWP213" s="275"/>
      <c r="DWQ213" s="275"/>
      <c r="DWR213" s="275"/>
      <c r="DWS213" s="275"/>
      <c r="DWT213" s="275"/>
      <c r="DWU213" s="275"/>
      <c r="DWV213" s="275"/>
      <c r="DWW213" s="275"/>
      <c r="DWX213" s="275"/>
      <c r="DWY213" s="275"/>
      <c r="DWZ213" s="275"/>
      <c r="DXA213" s="275"/>
      <c r="DXB213" s="275"/>
      <c r="DXC213" s="275"/>
      <c r="DXD213" s="275"/>
      <c r="DXE213" s="275"/>
      <c r="DXF213" s="275"/>
      <c r="DXG213" s="275"/>
      <c r="DXH213" s="275"/>
      <c r="DXI213" s="275"/>
      <c r="DXJ213" s="275"/>
      <c r="DXK213" s="275"/>
      <c r="DXL213" s="275"/>
      <c r="DXM213" s="275"/>
      <c r="DXN213" s="275"/>
      <c r="DXO213" s="275"/>
      <c r="DXP213" s="275"/>
      <c r="DXQ213" s="275"/>
      <c r="DXR213" s="275"/>
      <c r="DXS213" s="275"/>
      <c r="DXT213" s="275"/>
      <c r="DXU213" s="275"/>
      <c r="DXV213" s="275"/>
      <c r="DXW213" s="275"/>
      <c r="DXX213" s="275"/>
      <c r="DXY213" s="275"/>
      <c r="DXZ213" s="275"/>
      <c r="DYA213" s="275"/>
      <c r="DYB213" s="275"/>
      <c r="DYC213" s="275"/>
      <c r="DYD213" s="275"/>
      <c r="DYE213" s="275"/>
      <c r="DYF213" s="275"/>
      <c r="DYG213" s="275"/>
      <c r="DYH213" s="275"/>
      <c r="DYI213" s="275"/>
      <c r="DYJ213" s="275"/>
      <c r="DYK213" s="275"/>
      <c r="DYL213" s="275"/>
      <c r="DYM213" s="275"/>
      <c r="DYN213" s="275"/>
      <c r="DYO213" s="275"/>
      <c r="DYP213" s="275"/>
      <c r="DYQ213" s="275"/>
      <c r="DYR213" s="275"/>
      <c r="DYS213" s="275"/>
      <c r="DYT213" s="275"/>
      <c r="DYU213" s="275"/>
      <c r="DYV213" s="275"/>
      <c r="DYW213" s="275"/>
      <c r="DYX213" s="275"/>
      <c r="DYY213" s="275"/>
      <c r="DYZ213" s="275"/>
      <c r="DZA213" s="275"/>
      <c r="DZB213" s="275"/>
      <c r="DZC213" s="275"/>
      <c r="DZD213" s="275"/>
      <c r="DZE213" s="275"/>
      <c r="DZF213" s="275"/>
      <c r="DZG213" s="275"/>
      <c r="DZH213" s="275"/>
      <c r="DZI213" s="275"/>
      <c r="DZJ213" s="275"/>
      <c r="DZK213" s="275"/>
      <c r="DZL213" s="275"/>
      <c r="DZM213" s="275"/>
      <c r="DZN213" s="275"/>
      <c r="DZO213" s="275"/>
      <c r="DZP213" s="275"/>
      <c r="DZQ213" s="275"/>
      <c r="DZR213" s="275"/>
      <c r="DZS213" s="275"/>
      <c r="DZT213" s="275"/>
      <c r="DZU213" s="275"/>
      <c r="DZV213" s="275"/>
      <c r="DZW213" s="275"/>
      <c r="DZX213" s="275"/>
      <c r="DZY213" s="275"/>
      <c r="DZZ213" s="275"/>
      <c r="EAA213" s="275"/>
      <c r="EAB213" s="275"/>
      <c r="EAC213" s="275"/>
      <c r="EAD213" s="275"/>
      <c r="EAE213" s="275"/>
      <c r="EAF213" s="275"/>
      <c r="EAG213" s="275"/>
      <c r="EAH213" s="275"/>
      <c r="EAI213" s="275"/>
      <c r="EAJ213" s="275"/>
      <c r="EAK213" s="275"/>
      <c r="EAL213" s="275"/>
      <c r="EAM213" s="275"/>
      <c r="EAN213" s="275"/>
      <c r="EAO213" s="275"/>
      <c r="EAP213" s="275"/>
      <c r="EAQ213" s="275"/>
      <c r="EAR213" s="275"/>
      <c r="EAS213" s="275"/>
      <c r="EAT213" s="275"/>
      <c r="EAU213" s="275"/>
      <c r="EAV213" s="275"/>
      <c r="EAW213" s="275"/>
      <c r="EAX213" s="275"/>
      <c r="EAY213" s="275"/>
      <c r="EAZ213" s="275"/>
      <c r="EBA213" s="275"/>
      <c r="EBB213" s="275"/>
      <c r="EBC213" s="275"/>
      <c r="EBD213" s="275"/>
      <c r="EBE213" s="275"/>
      <c r="EBF213" s="275"/>
      <c r="EBG213" s="275"/>
      <c r="EBH213" s="275"/>
      <c r="EBI213" s="275"/>
      <c r="EBJ213" s="275"/>
      <c r="EBK213" s="275"/>
      <c r="EBL213" s="275"/>
      <c r="EBM213" s="275"/>
      <c r="EBN213" s="275"/>
      <c r="EBO213" s="275"/>
      <c r="EBP213" s="275"/>
      <c r="EBQ213" s="275"/>
      <c r="EBR213" s="275"/>
      <c r="EBS213" s="275"/>
      <c r="EBT213" s="275"/>
      <c r="EBU213" s="275"/>
      <c r="EBV213" s="275"/>
      <c r="EBW213" s="275"/>
      <c r="EBX213" s="275"/>
      <c r="EBY213" s="275"/>
      <c r="EBZ213" s="275"/>
      <c r="ECA213" s="275"/>
      <c r="ECB213" s="275"/>
      <c r="ECC213" s="275"/>
      <c r="ECD213" s="275"/>
      <c r="ECE213" s="275"/>
      <c r="ECF213" s="275"/>
      <c r="ECG213" s="275"/>
      <c r="ECH213" s="275"/>
      <c r="ECI213" s="275"/>
      <c r="ECJ213" s="275"/>
      <c r="ECK213" s="275"/>
      <c r="ECL213" s="275"/>
      <c r="ECM213" s="275"/>
      <c r="ECN213" s="275"/>
      <c r="ECO213" s="275"/>
      <c r="ECP213" s="275"/>
      <c r="ECQ213" s="275"/>
      <c r="ECR213" s="275"/>
      <c r="ECS213" s="275"/>
      <c r="ECT213" s="275"/>
      <c r="ECU213" s="275"/>
      <c r="ECV213" s="275"/>
      <c r="ECW213" s="275"/>
      <c r="ECX213" s="275"/>
      <c r="ECY213" s="275"/>
      <c r="ECZ213" s="275"/>
      <c r="EDA213" s="275"/>
      <c r="EDB213" s="275"/>
      <c r="EDC213" s="275"/>
      <c r="EDD213" s="275"/>
      <c r="EDE213" s="275"/>
      <c r="EDF213" s="275"/>
      <c r="EDG213" s="275"/>
      <c r="EDH213" s="275"/>
      <c r="EDI213" s="275"/>
      <c r="EDJ213" s="275"/>
      <c r="EDK213" s="275"/>
      <c r="EDL213" s="275"/>
      <c r="EDM213" s="275"/>
      <c r="EDN213" s="275"/>
      <c r="EDO213" s="275"/>
      <c r="EDP213" s="275"/>
      <c r="EDQ213" s="275"/>
      <c r="EDR213" s="275"/>
      <c r="EDS213" s="275"/>
      <c r="EDT213" s="275"/>
      <c r="EDU213" s="275"/>
      <c r="EDV213" s="275"/>
      <c r="EDW213" s="275"/>
      <c r="EDX213" s="275"/>
      <c r="EDY213" s="275"/>
      <c r="EDZ213" s="275"/>
      <c r="EEA213" s="275"/>
      <c r="EEB213" s="275"/>
      <c r="EEC213" s="275"/>
      <c r="EED213" s="275"/>
      <c r="EEE213" s="275"/>
      <c r="EEF213" s="275"/>
      <c r="EEG213" s="275"/>
      <c r="EEH213" s="275"/>
      <c r="EEI213" s="275"/>
      <c r="EEJ213" s="275"/>
      <c r="EEK213" s="275"/>
      <c r="EEL213" s="275"/>
      <c r="EEM213" s="275"/>
      <c r="EEN213" s="275"/>
      <c r="EEO213" s="275"/>
      <c r="EEP213" s="275"/>
      <c r="EEQ213" s="275"/>
      <c r="EER213" s="275"/>
      <c r="EES213" s="275"/>
      <c r="EET213" s="275"/>
      <c r="EEU213" s="275"/>
      <c r="EEV213" s="275"/>
      <c r="EEW213" s="275"/>
      <c r="EEX213" s="275"/>
      <c r="EEY213" s="275"/>
      <c r="EEZ213" s="275"/>
      <c r="EFA213" s="275"/>
      <c r="EFB213" s="275"/>
      <c r="EFC213" s="275"/>
      <c r="EFD213" s="275"/>
      <c r="EFE213" s="275"/>
      <c r="EFF213" s="275"/>
      <c r="EFG213" s="275"/>
      <c r="EFH213" s="275"/>
      <c r="EFI213" s="275"/>
      <c r="EFJ213" s="275"/>
      <c r="EFK213" s="275"/>
      <c r="EFL213" s="275"/>
      <c r="EFM213" s="275"/>
      <c r="EFN213" s="275"/>
      <c r="EFO213" s="275"/>
      <c r="EFP213" s="275"/>
      <c r="EFQ213" s="275"/>
      <c r="EFR213" s="275"/>
      <c r="EFS213" s="275"/>
      <c r="EFT213" s="275"/>
      <c r="EFU213" s="275"/>
      <c r="EFV213" s="275"/>
      <c r="EFW213" s="275"/>
      <c r="EFX213" s="275"/>
      <c r="EFY213" s="275"/>
      <c r="EFZ213" s="275"/>
      <c r="EGA213" s="275"/>
      <c r="EGB213" s="275"/>
      <c r="EGC213" s="275"/>
      <c r="EGD213" s="275"/>
      <c r="EGE213" s="275"/>
      <c r="EGF213" s="275"/>
      <c r="EGG213" s="275"/>
      <c r="EGH213" s="275"/>
      <c r="EGI213" s="275"/>
      <c r="EGJ213" s="275"/>
      <c r="EGK213" s="275"/>
      <c r="EGL213" s="275"/>
      <c r="EGM213" s="275"/>
      <c r="EGN213" s="275"/>
      <c r="EGO213" s="275"/>
      <c r="EGP213" s="275"/>
      <c r="EGQ213" s="275"/>
      <c r="EGR213" s="275"/>
      <c r="EGS213" s="275"/>
      <c r="EGT213" s="275"/>
      <c r="EGU213" s="275"/>
      <c r="EGV213" s="275"/>
      <c r="EGW213" s="275"/>
      <c r="EGX213" s="275"/>
      <c r="EGY213" s="275"/>
      <c r="EGZ213" s="275"/>
      <c r="EHA213" s="275"/>
      <c r="EHB213" s="275"/>
      <c r="EHC213" s="275"/>
      <c r="EHD213" s="275"/>
      <c r="EHE213" s="275"/>
      <c r="EHF213" s="275"/>
      <c r="EHG213" s="275"/>
      <c r="EHH213" s="275"/>
      <c r="EHI213" s="275"/>
      <c r="EHJ213" s="275"/>
      <c r="EHK213" s="275"/>
      <c r="EHL213" s="275"/>
      <c r="EHM213" s="275"/>
      <c r="EHN213" s="275"/>
      <c r="EHO213" s="275"/>
      <c r="EHP213" s="275"/>
      <c r="EHQ213" s="275"/>
      <c r="EHR213" s="275"/>
      <c r="EHS213" s="275"/>
      <c r="EHT213" s="275"/>
      <c r="EHU213" s="275"/>
      <c r="EHV213" s="275"/>
      <c r="EHW213" s="275"/>
      <c r="EHX213" s="275"/>
      <c r="EHY213" s="275"/>
      <c r="EHZ213" s="275"/>
      <c r="EIA213" s="275"/>
      <c r="EIB213" s="275"/>
      <c r="EIC213" s="275"/>
      <c r="EID213" s="275"/>
      <c r="EIE213" s="275"/>
      <c r="EIF213" s="275"/>
      <c r="EIG213" s="275"/>
      <c r="EIH213" s="275"/>
      <c r="EII213" s="275"/>
      <c r="EIJ213" s="275"/>
      <c r="EIK213" s="275"/>
      <c r="EIL213" s="275"/>
      <c r="EIM213" s="275"/>
      <c r="EIN213" s="275"/>
      <c r="EIO213" s="275"/>
      <c r="EIP213" s="275"/>
      <c r="EIQ213" s="275"/>
      <c r="EIR213" s="275"/>
      <c r="EIS213" s="275"/>
      <c r="EIT213" s="275"/>
      <c r="EIU213" s="275"/>
      <c r="EIV213" s="275"/>
      <c r="EIW213" s="275"/>
      <c r="EIX213" s="275"/>
      <c r="EIY213" s="275"/>
      <c r="EIZ213" s="275"/>
      <c r="EJA213" s="275"/>
      <c r="EJB213" s="275"/>
      <c r="EJC213" s="275"/>
      <c r="EJD213" s="275"/>
      <c r="EJE213" s="275"/>
      <c r="EJF213" s="275"/>
      <c r="EJG213" s="275"/>
      <c r="EJH213" s="275"/>
      <c r="EJI213" s="275"/>
      <c r="EJJ213" s="275"/>
      <c r="EJK213" s="275"/>
      <c r="EJL213" s="275"/>
      <c r="EJM213" s="275"/>
      <c r="EJN213" s="275"/>
      <c r="EJO213" s="275"/>
      <c r="EJP213" s="275"/>
      <c r="EJQ213" s="275"/>
      <c r="EJR213" s="275"/>
      <c r="EJS213" s="275"/>
      <c r="EJT213" s="275"/>
      <c r="EJU213" s="275"/>
      <c r="EJV213" s="275"/>
      <c r="EJW213" s="275"/>
      <c r="EJX213" s="275"/>
      <c r="EJY213" s="275"/>
      <c r="EJZ213" s="275"/>
      <c r="EKA213" s="275"/>
      <c r="EKB213" s="275"/>
      <c r="EKC213" s="275"/>
      <c r="EKD213" s="275"/>
      <c r="EKE213" s="275"/>
      <c r="EKF213" s="275"/>
      <c r="EKG213" s="275"/>
      <c r="EKH213" s="275"/>
      <c r="EKI213" s="275"/>
      <c r="EKJ213" s="275"/>
      <c r="EKK213" s="275"/>
      <c r="EKL213" s="275"/>
      <c r="EKM213" s="275"/>
      <c r="EKN213" s="275"/>
      <c r="EKO213" s="275"/>
      <c r="EKP213" s="275"/>
      <c r="EKQ213" s="275"/>
      <c r="EKR213" s="275"/>
      <c r="EKS213" s="275"/>
      <c r="EKT213" s="275"/>
      <c r="EKU213" s="275"/>
      <c r="EKV213" s="275"/>
      <c r="EKW213" s="275"/>
      <c r="EKX213" s="275"/>
      <c r="EKY213" s="275"/>
      <c r="EKZ213" s="275"/>
      <c r="ELA213" s="275"/>
      <c r="ELB213" s="275"/>
      <c r="ELC213" s="275"/>
      <c r="ELD213" s="275"/>
      <c r="ELE213" s="275"/>
      <c r="ELF213" s="275"/>
      <c r="ELG213" s="275"/>
      <c r="ELH213" s="275"/>
      <c r="ELI213" s="275"/>
      <c r="ELJ213" s="275"/>
      <c r="ELK213" s="275"/>
      <c r="ELL213" s="275"/>
      <c r="ELM213" s="275"/>
      <c r="ELN213" s="275"/>
      <c r="ELO213" s="275"/>
      <c r="ELP213" s="275"/>
      <c r="ELQ213" s="275"/>
      <c r="ELR213" s="275"/>
      <c r="ELS213" s="275"/>
      <c r="ELT213" s="275"/>
      <c r="ELU213" s="275"/>
      <c r="ELV213" s="275"/>
      <c r="ELW213" s="275"/>
      <c r="ELX213" s="275"/>
      <c r="ELY213" s="275"/>
      <c r="ELZ213" s="275"/>
      <c r="EMA213" s="275"/>
      <c r="EMB213" s="275"/>
      <c r="EMC213" s="275"/>
      <c r="EMD213" s="275"/>
      <c r="EME213" s="275"/>
      <c r="EMF213" s="275"/>
      <c r="EMG213" s="275"/>
      <c r="EMH213" s="275"/>
      <c r="EMI213" s="275"/>
      <c r="EMJ213" s="275"/>
      <c r="EMK213" s="275"/>
      <c r="EML213" s="275"/>
      <c r="EMM213" s="275"/>
      <c r="EMN213" s="275"/>
      <c r="EMO213" s="275"/>
      <c r="EMP213" s="275"/>
      <c r="EMQ213" s="275"/>
      <c r="EMR213" s="275"/>
      <c r="EMS213" s="275"/>
      <c r="EMT213" s="275"/>
      <c r="EMU213" s="275"/>
      <c r="EMV213" s="275"/>
      <c r="EMW213" s="275"/>
      <c r="EMX213" s="275"/>
      <c r="EMY213" s="275"/>
      <c r="EMZ213" s="275"/>
      <c r="ENA213" s="275"/>
      <c r="ENB213" s="275"/>
      <c r="ENC213" s="275"/>
      <c r="END213" s="275"/>
      <c r="ENE213" s="275"/>
      <c r="ENF213" s="275"/>
      <c r="ENG213" s="275"/>
      <c r="ENH213" s="275"/>
      <c r="ENI213" s="275"/>
      <c r="ENJ213" s="275"/>
      <c r="ENK213" s="275"/>
      <c r="ENL213" s="275"/>
      <c r="ENM213" s="275"/>
      <c r="ENN213" s="275"/>
      <c r="ENO213" s="275"/>
      <c r="ENP213" s="275"/>
      <c r="ENQ213" s="275"/>
      <c r="ENR213" s="275"/>
      <c r="ENS213" s="275"/>
      <c r="ENT213" s="275"/>
      <c r="ENU213" s="275"/>
      <c r="ENV213" s="275"/>
      <c r="ENW213" s="275"/>
      <c r="ENX213" s="275"/>
      <c r="ENY213" s="275"/>
      <c r="ENZ213" s="275"/>
      <c r="EOA213" s="275"/>
      <c r="EOB213" s="275"/>
      <c r="EOC213" s="275"/>
      <c r="EOD213" s="275"/>
      <c r="EOE213" s="275"/>
      <c r="EOF213" s="275"/>
      <c r="EOG213" s="275"/>
      <c r="EOH213" s="275"/>
      <c r="EOI213" s="275"/>
      <c r="EOJ213" s="275"/>
      <c r="EOK213" s="275"/>
      <c r="EOL213" s="275"/>
      <c r="EOM213" s="275"/>
      <c r="EON213" s="275"/>
      <c r="EOO213" s="275"/>
      <c r="EOP213" s="275"/>
      <c r="EOQ213" s="275"/>
      <c r="EOR213" s="275"/>
      <c r="EOS213" s="275"/>
      <c r="EOT213" s="275"/>
      <c r="EOU213" s="275"/>
      <c r="EOV213" s="275"/>
      <c r="EOW213" s="275"/>
      <c r="EOX213" s="275"/>
      <c r="EOY213" s="275"/>
      <c r="EOZ213" s="275"/>
      <c r="EPA213" s="275"/>
      <c r="EPB213" s="275"/>
      <c r="EPC213" s="275"/>
      <c r="EPD213" s="275"/>
      <c r="EPE213" s="275"/>
      <c r="EPF213" s="275"/>
      <c r="EPG213" s="275"/>
      <c r="EPH213" s="275"/>
      <c r="EPI213" s="275"/>
      <c r="EPJ213" s="275"/>
      <c r="EPK213" s="275"/>
      <c r="EPL213" s="275"/>
      <c r="EPM213" s="275"/>
      <c r="EPN213" s="275"/>
      <c r="EPO213" s="275"/>
      <c r="EPP213" s="275"/>
      <c r="EPQ213" s="275"/>
      <c r="EPR213" s="275"/>
      <c r="EPS213" s="275"/>
      <c r="EPT213" s="275"/>
      <c r="EPU213" s="275"/>
      <c r="EPV213" s="275"/>
      <c r="EPW213" s="275"/>
      <c r="EPX213" s="275"/>
      <c r="EPY213" s="275"/>
      <c r="EPZ213" s="275"/>
      <c r="EQA213" s="275"/>
      <c r="EQB213" s="275"/>
      <c r="EQC213" s="275"/>
      <c r="EQD213" s="275"/>
      <c r="EQE213" s="275"/>
      <c r="EQF213" s="275"/>
      <c r="EQG213" s="275"/>
      <c r="EQH213" s="275"/>
      <c r="EQI213" s="275"/>
      <c r="EQJ213" s="275"/>
      <c r="EQK213" s="275"/>
      <c r="EQL213" s="275"/>
      <c r="EQM213" s="275"/>
      <c r="EQN213" s="275"/>
      <c r="EQO213" s="275"/>
      <c r="EQP213" s="275"/>
      <c r="EQQ213" s="275"/>
      <c r="EQR213" s="275"/>
      <c r="EQS213" s="275"/>
      <c r="EQT213" s="275"/>
      <c r="EQU213" s="275"/>
      <c r="EQV213" s="275"/>
      <c r="EQW213" s="275"/>
      <c r="EQX213" s="275"/>
      <c r="EQY213" s="275"/>
      <c r="EQZ213" s="275"/>
      <c r="ERA213" s="275"/>
      <c r="ERB213" s="275"/>
      <c r="ERC213" s="275"/>
      <c r="ERD213" s="275"/>
      <c r="ERE213" s="275"/>
      <c r="ERF213" s="275"/>
      <c r="ERG213" s="275"/>
      <c r="ERH213" s="275"/>
      <c r="ERI213" s="275"/>
      <c r="ERJ213" s="275"/>
      <c r="ERK213" s="275"/>
      <c r="ERL213" s="275"/>
      <c r="ERM213" s="275"/>
      <c r="ERN213" s="275"/>
      <c r="ERO213" s="275"/>
      <c r="ERP213" s="275"/>
      <c r="ERQ213" s="275"/>
      <c r="ERR213" s="275"/>
      <c r="ERS213" s="275"/>
      <c r="ERT213" s="275"/>
      <c r="ERU213" s="275"/>
      <c r="ERV213" s="275"/>
      <c r="ERW213" s="275"/>
      <c r="ERX213" s="275"/>
      <c r="ERY213" s="275"/>
      <c r="ERZ213" s="275"/>
      <c r="ESA213" s="275"/>
      <c r="ESB213" s="275"/>
      <c r="ESC213" s="275"/>
      <c r="ESD213" s="275"/>
      <c r="ESE213" s="275"/>
      <c r="ESF213" s="275"/>
      <c r="ESG213" s="275"/>
      <c r="ESH213" s="275"/>
      <c r="ESI213" s="275"/>
      <c r="ESJ213" s="275"/>
      <c r="ESK213" s="275"/>
      <c r="ESL213" s="275"/>
      <c r="ESM213" s="275"/>
      <c r="ESN213" s="275"/>
      <c r="ESO213" s="275"/>
      <c r="ESP213" s="275"/>
      <c r="ESQ213" s="275"/>
      <c r="ESR213" s="275"/>
      <c r="ESS213" s="275"/>
      <c r="EST213" s="275"/>
      <c r="ESU213" s="275"/>
      <c r="ESV213" s="275"/>
      <c r="ESW213" s="275"/>
      <c r="ESX213" s="275"/>
      <c r="ESY213" s="275"/>
      <c r="ESZ213" s="275"/>
      <c r="ETA213" s="275"/>
      <c r="ETB213" s="275"/>
      <c r="ETC213" s="275"/>
      <c r="ETD213" s="275"/>
      <c r="ETE213" s="275"/>
      <c r="ETF213" s="275"/>
      <c r="ETG213" s="275"/>
      <c r="ETH213" s="275"/>
      <c r="ETI213" s="275"/>
      <c r="ETJ213" s="275"/>
      <c r="ETK213" s="275"/>
      <c r="ETL213" s="275"/>
      <c r="ETM213" s="275"/>
      <c r="ETN213" s="275"/>
      <c r="ETO213" s="275"/>
      <c r="ETP213" s="275"/>
      <c r="ETQ213" s="275"/>
      <c r="ETR213" s="275"/>
      <c r="ETS213" s="275"/>
      <c r="ETT213" s="275"/>
      <c r="ETU213" s="275"/>
      <c r="ETV213" s="275"/>
      <c r="ETW213" s="275"/>
      <c r="ETX213" s="275"/>
      <c r="ETY213" s="275"/>
      <c r="ETZ213" s="275"/>
      <c r="EUA213" s="275"/>
      <c r="EUB213" s="275"/>
      <c r="EUC213" s="275"/>
      <c r="EUD213" s="275"/>
      <c r="EUE213" s="275"/>
      <c r="EUF213" s="275"/>
      <c r="EUG213" s="275"/>
      <c r="EUH213" s="275"/>
      <c r="EUI213" s="275"/>
      <c r="EUJ213" s="275"/>
      <c r="EUK213" s="275"/>
      <c r="EUL213" s="275"/>
      <c r="EUM213" s="275"/>
      <c r="EUN213" s="275"/>
      <c r="EUO213" s="275"/>
      <c r="EUP213" s="275"/>
      <c r="EUQ213" s="275"/>
      <c r="EUR213" s="275"/>
      <c r="EUS213" s="275"/>
      <c r="EUT213" s="275"/>
      <c r="EUU213" s="275"/>
      <c r="EUV213" s="275"/>
      <c r="EUW213" s="275"/>
      <c r="EUX213" s="275"/>
      <c r="EUY213" s="275"/>
      <c r="EUZ213" s="275"/>
      <c r="EVA213" s="275"/>
      <c r="EVB213" s="275"/>
      <c r="EVC213" s="275"/>
      <c r="EVD213" s="275"/>
      <c r="EVE213" s="275"/>
      <c r="EVF213" s="275"/>
      <c r="EVG213" s="275"/>
      <c r="EVH213" s="275"/>
      <c r="EVI213" s="275"/>
      <c r="EVJ213" s="275"/>
      <c r="EVK213" s="275"/>
      <c r="EVL213" s="275"/>
      <c r="EVM213" s="275"/>
      <c r="EVN213" s="275"/>
      <c r="EVO213" s="275"/>
      <c r="EVP213" s="275"/>
      <c r="EVQ213" s="275"/>
      <c r="EVR213" s="275"/>
      <c r="EVS213" s="275"/>
      <c r="EVT213" s="275"/>
      <c r="EVU213" s="275"/>
      <c r="EVV213" s="275"/>
      <c r="EVW213" s="275"/>
      <c r="EVX213" s="275"/>
      <c r="EVY213" s="275"/>
      <c r="EVZ213" s="275"/>
      <c r="EWA213" s="275"/>
      <c r="EWB213" s="275"/>
      <c r="EWC213" s="275"/>
      <c r="EWD213" s="275"/>
      <c r="EWE213" s="275"/>
      <c r="EWF213" s="275"/>
      <c r="EWG213" s="275"/>
      <c r="EWH213" s="275"/>
      <c r="EWI213" s="275"/>
      <c r="EWJ213" s="275"/>
      <c r="EWK213" s="275"/>
      <c r="EWL213" s="275"/>
      <c r="EWM213" s="275"/>
      <c r="EWN213" s="275"/>
      <c r="EWO213" s="275"/>
      <c r="EWP213" s="275"/>
      <c r="EWQ213" s="275"/>
      <c r="EWR213" s="275"/>
      <c r="EWS213" s="275"/>
      <c r="EWT213" s="275"/>
      <c r="EWU213" s="275"/>
      <c r="EWV213" s="275"/>
      <c r="EWW213" s="275"/>
      <c r="EWX213" s="275"/>
      <c r="EWY213" s="275"/>
      <c r="EWZ213" s="275"/>
      <c r="EXA213" s="275"/>
      <c r="EXB213" s="275"/>
      <c r="EXC213" s="275"/>
      <c r="EXD213" s="275"/>
      <c r="EXE213" s="275"/>
      <c r="EXF213" s="275"/>
      <c r="EXG213" s="275"/>
      <c r="EXH213" s="275"/>
      <c r="EXI213" s="275"/>
      <c r="EXJ213" s="275"/>
      <c r="EXK213" s="275"/>
      <c r="EXL213" s="275"/>
      <c r="EXM213" s="275"/>
      <c r="EXN213" s="275"/>
      <c r="EXO213" s="275"/>
      <c r="EXP213" s="275"/>
      <c r="EXQ213" s="275"/>
      <c r="EXR213" s="275"/>
      <c r="EXS213" s="275"/>
      <c r="EXT213" s="275"/>
      <c r="EXU213" s="275"/>
      <c r="EXV213" s="275"/>
      <c r="EXW213" s="275"/>
      <c r="EXX213" s="275"/>
      <c r="EXY213" s="275"/>
      <c r="EXZ213" s="275"/>
      <c r="EYA213" s="275"/>
      <c r="EYB213" s="275"/>
      <c r="EYC213" s="275"/>
      <c r="EYD213" s="275"/>
      <c r="EYE213" s="275"/>
      <c r="EYF213" s="275"/>
      <c r="EYG213" s="275"/>
      <c r="EYH213" s="275"/>
      <c r="EYI213" s="275"/>
      <c r="EYJ213" s="275"/>
      <c r="EYK213" s="275"/>
      <c r="EYL213" s="275"/>
      <c r="EYM213" s="275"/>
      <c r="EYN213" s="275"/>
      <c r="EYO213" s="275"/>
      <c r="EYP213" s="275"/>
      <c r="EYQ213" s="275"/>
      <c r="EYR213" s="275"/>
      <c r="EYS213" s="275"/>
      <c r="EYT213" s="275"/>
      <c r="EYU213" s="275"/>
      <c r="EYV213" s="275"/>
      <c r="EYW213" s="275"/>
      <c r="EYX213" s="275"/>
      <c r="EYY213" s="275"/>
      <c r="EYZ213" s="275"/>
      <c r="EZA213" s="275"/>
      <c r="EZB213" s="275"/>
      <c r="EZC213" s="275"/>
      <c r="EZD213" s="275"/>
      <c r="EZE213" s="275"/>
      <c r="EZF213" s="275"/>
      <c r="EZG213" s="275"/>
      <c r="EZH213" s="275"/>
      <c r="EZI213" s="275"/>
      <c r="EZJ213" s="275"/>
      <c r="EZK213" s="275"/>
      <c r="EZL213" s="275"/>
      <c r="EZM213" s="275"/>
      <c r="EZN213" s="275"/>
      <c r="EZO213" s="275"/>
      <c r="EZP213" s="275"/>
      <c r="EZQ213" s="275"/>
      <c r="EZR213" s="275"/>
      <c r="EZS213" s="275"/>
      <c r="EZT213" s="275"/>
      <c r="EZU213" s="275"/>
      <c r="EZV213" s="275"/>
      <c r="EZW213" s="275"/>
      <c r="EZX213" s="275"/>
      <c r="EZY213" s="275"/>
      <c r="EZZ213" s="275"/>
      <c r="FAA213" s="275"/>
      <c r="FAB213" s="275"/>
      <c r="FAC213" s="275"/>
      <c r="FAD213" s="275"/>
      <c r="FAE213" s="275"/>
      <c r="FAF213" s="275"/>
      <c r="FAG213" s="275"/>
      <c r="FAH213" s="275"/>
      <c r="FAI213" s="275"/>
      <c r="FAJ213" s="275"/>
      <c r="FAK213" s="275"/>
      <c r="FAL213" s="275"/>
      <c r="FAM213" s="275"/>
      <c r="FAN213" s="275"/>
      <c r="FAO213" s="275"/>
      <c r="FAP213" s="275"/>
      <c r="FAQ213" s="275"/>
      <c r="FAR213" s="275"/>
      <c r="FAS213" s="275"/>
      <c r="FAT213" s="275"/>
      <c r="FAU213" s="275"/>
      <c r="FAV213" s="275"/>
      <c r="FAW213" s="275"/>
      <c r="FAX213" s="275"/>
      <c r="FAY213" s="275"/>
      <c r="FAZ213" s="275"/>
      <c r="FBA213" s="275"/>
      <c r="FBB213" s="275"/>
      <c r="FBC213" s="275"/>
      <c r="FBD213" s="275"/>
      <c r="FBE213" s="275"/>
      <c r="FBF213" s="275"/>
      <c r="FBG213" s="275"/>
      <c r="FBH213" s="275"/>
      <c r="FBI213" s="275"/>
      <c r="FBJ213" s="275"/>
      <c r="FBK213" s="275"/>
      <c r="FBL213" s="275"/>
      <c r="FBM213" s="275"/>
      <c r="FBN213" s="275"/>
      <c r="FBO213" s="275"/>
      <c r="FBP213" s="275"/>
      <c r="FBQ213" s="275"/>
      <c r="FBR213" s="275"/>
      <c r="FBS213" s="275"/>
      <c r="FBT213" s="275"/>
      <c r="FBU213" s="275"/>
      <c r="FBV213" s="275"/>
      <c r="FBW213" s="275"/>
      <c r="FBX213" s="275"/>
      <c r="FBY213" s="275"/>
      <c r="FBZ213" s="275"/>
      <c r="FCA213" s="275"/>
      <c r="FCB213" s="275"/>
      <c r="FCC213" s="275"/>
      <c r="FCD213" s="275"/>
      <c r="FCE213" s="275"/>
      <c r="FCF213" s="275"/>
      <c r="FCG213" s="275"/>
      <c r="FCH213" s="275"/>
      <c r="FCI213" s="275"/>
      <c r="FCJ213" s="275"/>
      <c r="FCK213" s="275"/>
      <c r="FCL213" s="275"/>
      <c r="FCM213" s="275"/>
      <c r="FCN213" s="275"/>
      <c r="FCO213" s="275"/>
      <c r="FCP213" s="275"/>
      <c r="FCQ213" s="275"/>
      <c r="FCR213" s="275"/>
      <c r="FCS213" s="275"/>
      <c r="FCT213" s="275"/>
      <c r="FCU213" s="275"/>
      <c r="FCV213" s="275"/>
      <c r="FCW213" s="275"/>
      <c r="FCX213" s="275"/>
      <c r="FCY213" s="275"/>
      <c r="FCZ213" s="275"/>
      <c r="FDA213" s="275"/>
      <c r="FDB213" s="275"/>
      <c r="FDC213" s="275"/>
      <c r="FDD213" s="275"/>
      <c r="FDE213" s="275"/>
      <c r="FDF213" s="275"/>
      <c r="FDG213" s="275"/>
      <c r="FDH213" s="275"/>
      <c r="FDI213" s="275"/>
      <c r="FDJ213" s="275"/>
      <c r="FDK213" s="275"/>
      <c r="FDL213" s="275"/>
      <c r="FDM213" s="275"/>
      <c r="FDN213" s="275"/>
      <c r="FDO213" s="275"/>
      <c r="FDP213" s="275"/>
      <c r="FDQ213" s="275"/>
      <c r="FDR213" s="275"/>
      <c r="FDS213" s="275"/>
      <c r="FDT213" s="275"/>
      <c r="FDU213" s="275"/>
      <c r="FDV213" s="275"/>
      <c r="FDW213" s="275"/>
      <c r="FDX213" s="275"/>
      <c r="FDY213" s="275"/>
      <c r="FDZ213" s="275"/>
      <c r="FEA213" s="275"/>
      <c r="FEB213" s="275"/>
      <c r="FEC213" s="275"/>
      <c r="FED213" s="275"/>
      <c r="FEE213" s="275"/>
      <c r="FEF213" s="275"/>
      <c r="FEG213" s="275"/>
      <c r="FEH213" s="275"/>
      <c r="FEI213" s="275"/>
      <c r="FEJ213" s="275"/>
      <c r="FEK213" s="275"/>
      <c r="FEL213" s="275"/>
      <c r="FEM213" s="275"/>
      <c r="FEN213" s="275"/>
      <c r="FEO213" s="275"/>
      <c r="FEP213" s="275"/>
      <c r="FEQ213" s="275"/>
      <c r="FER213" s="275"/>
      <c r="FES213" s="275"/>
      <c r="FET213" s="275"/>
      <c r="FEU213" s="275"/>
      <c r="FEV213" s="275"/>
      <c r="FEW213" s="275"/>
      <c r="FEX213" s="275"/>
      <c r="FEY213" s="275"/>
      <c r="FEZ213" s="275"/>
      <c r="FFA213" s="275"/>
      <c r="FFB213" s="275"/>
      <c r="FFC213" s="275"/>
      <c r="FFD213" s="275"/>
      <c r="FFE213" s="275"/>
      <c r="FFF213" s="275"/>
      <c r="FFG213" s="275"/>
      <c r="FFH213" s="275"/>
      <c r="FFI213" s="275"/>
      <c r="FFJ213" s="275"/>
      <c r="FFK213" s="275"/>
      <c r="FFL213" s="275"/>
      <c r="FFM213" s="275"/>
      <c r="FFN213" s="275"/>
      <c r="FFO213" s="275"/>
      <c r="FFP213" s="275"/>
      <c r="FFQ213" s="275"/>
      <c r="FFR213" s="275"/>
      <c r="FFS213" s="275"/>
      <c r="FFT213" s="275"/>
      <c r="FFU213" s="275"/>
      <c r="FFV213" s="275"/>
      <c r="FFW213" s="275"/>
      <c r="FFX213" s="275"/>
      <c r="FFY213" s="275"/>
      <c r="FFZ213" s="275"/>
      <c r="FGA213" s="275"/>
      <c r="FGB213" s="275"/>
      <c r="FGC213" s="275"/>
      <c r="FGD213" s="275"/>
      <c r="FGE213" s="275"/>
      <c r="FGF213" s="275"/>
      <c r="FGG213" s="275"/>
      <c r="FGH213" s="275"/>
      <c r="FGI213" s="275"/>
      <c r="FGJ213" s="275"/>
      <c r="FGK213" s="275"/>
      <c r="FGL213" s="275"/>
      <c r="FGM213" s="275"/>
      <c r="FGN213" s="275"/>
      <c r="FGO213" s="275"/>
      <c r="FGP213" s="275"/>
      <c r="FGQ213" s="275"/>
      <c r="FGR213" s="275"/>
      <c r="FGS213" s="275"/>
      <c r="FGT213" s="275"/>
      <c r="FGU213" s="275"/>
      <c r="FGV213" s="275"/>
      <c r="FGW213" s="275"/>
      <c r="FGX213" s="275"/>
      <c r="FGY213" s="275"/>
      <c r="FGZ213" s="275"/>
      <c r="FHA213" s="275"/>
      <c r="FHB213" s="275"/>
      <c r="FHC213" s="275"/>
      <c r="FHD213" s="275"/>
      <c r="FHE213" s="275"/>
      <c r="FHF213" s="275"/>
      <c r="FHG213" s="275"/>
      <c r="FHH213" s="275"/>
      <c r="FHI213" s="275"/>
      <c r="FHJ213" s="275"/>
      <c r="FHK213" s="275"/>
      <c r="FHL213" s="275"/>
      <c r="FHM213" s="275"/>
      <c r="FHN213" s="275"/>
      <c r="FHO213" s="275"/>
      <c r="FHP213" s="275"/>
      <c r="FHQ213" s="275"/>
      <c r="FHR213" s="275"/>
      <c r="FHS213" s="275"/>
      <c r="FHT213" s="275"/>
      <c r="FHU213" s="275"/>
      <c r="FHV213" s="275"/>
      <c r="FHW213" s="275"/>
      <c r="FHX213" s="275"/>
      <c r="FHY213" s="275"/>
      <c r="FHZ213" s="275"/>
      <c r="FIA213" s="275"/>
      <c r="FIB213" s="275"/>
      <c r="FIC213" s="275"/>
      <c r="FID213" s="275"/>
      <c r="FIE213" s="275"/>
      <c r="FIF213" s="275"/>
      <c r="FIG213" s="275"/>
      <c r="FIH213" s="275"/>
      <c r="FII213" s="275"/>
      <c r="FIJ213" s="275"/>
      <c r="FIK213" s="275"/>
      <c r="FIL213" s="275"/>
      <c r="FIM213" s="275"/>
      <c r="FIN213" s="275"/>
      <c r="FIO213" s="275"/>
      <c r="FIP213" s="275"/>
      <c r="FIQ213" s="275"/>
      <c r="FIR213" s="275"/>
      <c r="FIS213" s="275"/>
      <c r="FIT213" s="275"/>
      <c r="FIU213" s="275"/>
      <c r="FIV213" s="275"/>
      <c r="FIW213" s="275"/>
      <c r="FIX213" s="275"/>
      <c r="FIY213" s="275"/>
      <c r="FIZ213" s="275"/>
      <c r="FJA213" s="275"/>
      <c r="FJB213" s="275"/>
      <c r="FJC213" s="275"/>
      <c r="FJD213" s="275"/>
      <c r="FJE213" s="275"/>
      <c r="FJF213" s="275"/>
      <c r="FJG213" s="275"/>
      <c r="FJH213" s="275"/>
      <c r="FJI213" s="275"/>
      <c r="FJJ213" s="275"/>
      <c r="FJK213" s="275"/>
      <c r="FJL213" s="275"/>
      <c r="FJM213" s="275"/>
      <c r="FJN213" s="275"/>
      <c r="FJO213" s="275"/>
      <c r="FJP213" s="275"/>
      <c r="FJQ213" s="275"/>
      <c r="FJR213" s="275"/>
      <c r="FJS213" s="275"/>
      <c r="FJT213" s="275"/>
      <c r="FJU213" s="275"/>
      <c r="FJV213" s="275"/>
      <c r="FJW213" s="275"/>
      <c r="FJX213" s="275"/>
      <c r="FJY213" s="275"/>
      <c r="FJZ213" s="275"/>
      <c r="FKA213" s="275"/>
      <c r="FKB213" s="275"/>
      <c r="FKC213" s="275"/>
      <c r="FKD213" s="275"/>
      <c r="FKE213" s="275"/>
      <c r="FKF213" s="275"/>
      <c r="FKG213" s="275"/>
      <c r="FKH213" s="275"/>
      <c r="FKI213" s="275"/>
      <c r="FKJ213" s="275"/>
      <c r="FKK213" s="275"/>
      <c r="FKL213" s="275"/>
      <c r="FKM213" s="275"/>
      <c r="FKN213" s="275"/>
      <c r="FKO213" s="275"/>
      <c r="FKP213" s="275"/>
      <c r="FKQ213" s="275"/>
      <c r="FKR213" s="275"/>
      <c r="FKS213" s="275"/>
      <c r="FKT213" s="275"/>
      <c r="FKU213" s="275"/>
      <c r="FKV213" s="275"/>
      <c r="FKW213" s="275"/>
      <c r="FKX213" s="275"/>
      <c r="FKY213" s="275"/>
      <c r="FKZ213" s="275"/>
      <c r="FLA213" s="275"/>
      <c r="FLB213" s="275"/>
      <c r="FLC213" s="275"/>
      <c r="FLD213" s="275"/>
      <c r="FLE213" s="275"/>
      <c r="FLF213" s="275"/>
      <c r="FLG213" s="275"/>
      <c r="FLH213" s="275"/>
      <c r="FLI213" s="275"/>
      <c r="FLJ213" s="275"/>
      <c r="FLK213" s="275"/>
      <c r="FLL213" s="275"/>
      <c r="FLM213" s="275"/>
      <c r="FLN213" s="275"/>
      <c r="FLO213" s="275"/>
      <c r="FLP213" s="275"/>
      <c r="FLQ213" s="275"/>
      <c r="FLR213" s="275"/>
      <c r="FLS213" s="275"/>
      <c r="FLT213" s="275"/>
      <c r="FLU213" s="275"/>
      <c r="FLV213" s="275"/>
      <c r="FLW213" s="275"/>
      <c r="FLX213" s="275"/>
      <c r="FLY213" s="275"/>
      <c r="FLZ213" s="275"/>
      <c r="FMA213" s="275"/>
      <c r="FMB213" s="275"/>
      <c r="FMC213" s="275"/>
      <c r="FMD213" s="275"/>
      <c r="FME213" s="275"/>
      <c r="FMF213" s="275"/>
      <c r="FMG213" s="275"/>
      <c r="FMH213" s="275"/>
      <c r="FMI213" s="275"/>
      <c r="FMJ213" s="275"/>
      <c r="FMK213" s="275"/>
      <c r="FML213" s="275"/>
      <c r="FMM213" s="275"/>
      <c r="FMN213" s="275"/>
      <c r="FMO213" s="275"/>
      <c r="FMP213" s="275"/>
      <c r="FMQ213" s="275"/>
      <c r="FMR213" s="275"/>
      <c r="FMS213" s="275"/>
      <c r="FMT213" s="275"/>
      <c r="FMU213" s="275"/>
      <c r="FMV213" s="275"/>
      <c r="FMW213" s="275"/>
      <c r="FMX213" s="275"/>
      <c r="FMY213" s="275"/>
      <c r="FMZ213" s="275"/>
      <c r="FNA213" s="275"/>
      <c r="FNB213" s="275"/>
      <c r="FNC213" s="275"/>
      <c r="FND213" s="275"/>
      <c r="FNE213" s="275"/>
      <c r="FNF213" s="275"/>
      <c r="FNG213" s="275"/>
      <c r="FNH213" s="275"/>
      <c r="FNI213" s="275"/>
      <c r="FNJ213" s="275"/>
      <c r="FNK213" s="275"/>
      <c r="FNL213" s="275"/>
      <c r="FNM213" s="275"/>
      <c r="FNN213" s="275"/>
      <c r="FNO213" s="275"/>
      <c r="FNP213" s="275"/>
      <c r="FNQ213" s="275"/>
      <c r="FNR213" s="275"/>
      <c r="FNS213" s="275"/>
      <c r="FNT213" s="275"/>
      <c r="FNU213" s="275"/>
      <c r="FNV213" s="275"/>
      <c r="FNW213" s="275"/>
      <c r="FNX213" s="275"/>
      <c r="FNY213" s="275"/>
      <c r="FNZ213" s="275"/>
      <c r="FOA213" s="275"/>
      <c r="FOB213" s="275"/>
      <c r="FOC213" s="275"/>
      <c r="FOD213" s="275"/>
      <c r="FOE213" s="275"/>
      <c r="FOF213" s="275"/>
      <c r="FOG213" s="275"/>
      <c r="FOH213" s="275"/>
      <c r="FOI213" s="275"/>
      <c r="FOJ213" s="275"/>
      <c r="FOK213" s="275"/>
      <c r="FOL213" s="275"/>
      <c r="FOM213" s="275"/>
      <c r="FON213" s="275"/>
      <c r="FOO213" s="275"/>
      <c r="FOP213" s="275"/>
      <c r="FOQ213" s="275"/>
      <c r="FOR213" s="275"/>
      <c r="FOS213" s="275"/>
      <c r="FOT213" s="275"/>
      <c r="FOU213" s="275"/>
      <c r="FOV213" s="275"/>
      <c r="FOW213" s="275"/>
      <c r="FOX213" s="275"/>
      <c r="FOY213" s="275"/>
      <c r="FOZ213" s="275"/>
      <c r="FPA213" s="275"/>
      <c r="FPB213" s="275"/>
      <c r="FPC213" s="275"/>
      <c r="FPD213" s="275"/>
      <c r="FPE213" s="275"/>
      <c r="FPF213" s="275"/>
      <c r="FPG213" s="275"/>
      <c r="FPH213" s="275"/>
      <c r="FPI213" s="275"/>
      <c r="FPJ213" s="275"/>
      <c r="FPK213" s="275"/>
      <c r="FPL213" s="275"/>
      <c r="FPM213" s="275"/>
      <c r="FPN213" s="275"/>
      <c r="FPO213" s="275"/>
      <c r="FPP213" s="275"/>
      <c r="FPQ213" s="275"/>
      <c r="FPR213" s="275"/>
      <c r="FPS213" s="275"/>
      <c r="FPT213" s="275"/>
      <c r="FPU213" s="275"/>
      <c r="FPV213" s="275"/>
      <c r="FPW213" s="275"/>
      <c r="FPX213" s="275"/>
      <c r="FPY213" s="275"/>
      <c r="FPZ213" s="275"/>
      <c r="FQA213" s="275"/>
      <c r="FQB213" s="275"/>
      <c r="FQC213" s="275"/>
      <c r="FQD213" s="275"/>
      <c r="FQE213" s="275"/>
      <c r="FQF213" s="275"/>
      <c r="FQG213" s="275"/>
      <c r="FQH213" s="275"/>
      <c r="FQI213" s="275"/>
      <c r="FQJ213" s="275"/>
      <c r="FQK213" s="275"/>
      <c r="FQL213" s="275"/>
      <c r="FQM213" s="275"/>
      <c r="FQN213" s="275"/>
      <c r="FQO213" s="275"/>
      <c r="FQP213" s="275"/>
      <c r="FQQ213" s="275"/>
      <c r="FQR213" s="275"/>
      <c r="FQS213" s="275"/>
      <c r="FQT213" s="275"/>
      <c r="FQU213" s="275"/>
      <c r="FQV213" s="275"/>
      <c r="FQW213" s="275"/>
      <c r="FQX213" s="275"/>
      <c r="FQY213" s="275"/>
      <c r="FQZ213" s="275"/>
      <c r="FRA213" s="275"/>
      <c r="FRB213" s="275"/>
      <c r="FRC213" s="275"/>
      <c r="FRD213" s="275"/>
      <c r="FRE213" s="275"/>
      <c r="FRF213" s="275"/>
      <c r="FRG213" s="275"/>
      <c r="FRH213" s="275"/>
      <c r="FRI213" s="275"/>
      <c r="FRJ213" s="275"/>
      <c r="FRK213" s="275"/>
      <c r="FRL213" s="275"/>
      <c r="FRM213" s="275"/>
      <c r="FRN213" s="275"/>
      <c r="FRO213" s="275"/>
      <c r="FRP213" s="275"/>
      <c r="FRQ213" s="275"/>
      <c r="FRR213" s="275"/>
      <c r="FRS213" s="275"/>
      <c r="FRT213" s="275"/>
      <c r="FRU213" s="275"/>
      <c r="FRV213" s="275"/>
      <c r="FRW213" s="275"/>
      <c r="FRX213" s="275"/>
      <c r="FRY213" s="275"/>
      <c r="FRZ213" s="275"/>
      <c r="FSA213" s="275"/>
      <c r="FSB213" s="275"/>
      <c r="FSC213" s="275"/>
      <c r="FSD213" s="275"/>
      <c r="FSE213" s="275"/>
      <c r="FSF213" s="275"/>
      <c r="FSG213" s="275"/>
      <c r="FSH213" s="275"/>
      <c r="FSI213" s="275"/>
      <c r="FSJ213" s="275"/>
      <c r="FSK213" s="275"/>
      <c r="FSL213" s="275"/>
      <c r="FSM213" s="275"/>
      <c r="FSN213" s="275"/>
      <c r="FSO213" s="275"/>
      <c r="FSP213" s="275"/>
      <c r="FSQ213" s="275"/>
      <c r="FSR213" s="275"/>
      <c r="FSS213" s="275"/>
      <c r="FST213" s="275"/>
      <c r="FSU213" s="275"/>
      <c r="FSV213" s="275"/>
      <c r="FSW213" s="275"/>
      <c r="FSX213" s="275"/>
      <c r="FSY213" s="275"/>
      <c r="FSZ213" s="275"/>
      <c r="FTA213" s="275"/>
    </row>
    <row r="214" spans="1:4577" s="275" customFormat="1" ht="15.75">
      <c r="A214" s="779"/>
      <c r="B214" s="763"/>
      <c r="C214" s="811"/>
      <c r="D214" s="812"/>
      <c r="E214" s="789"/>
      <c r="F214" s="788"/>
      <c r="G214" s="788"/>
      <c r="H214" s="766"/>
      <c r="I214" s="766"/>
      <c r="J214" s="766"/>
      <c r="K214" s="764"/>
      <c r="L214" s="189"/>
      <c r="M214" s="189"/>
    </row>
    <row r="215" spans="1:4577" s="275" customFormat="1" ht="15.75">
      <c r="A215" s="779"/>
      <c r="B215" s="811"/>
      <c r="C215" s="810"/>
      <c r="D215" s="792"/>
      <c r="E215" s="789"/>
      <c r="F215" s="788"/>
      <c r="G215" s="788"/>
      <c r="H215" s="778"/>
      <c r="I215" s="778"/>
      <c r="J215" s="766"/>
      <c r="K215" s="764"/>
      <c r="L215" s="189"/>
      <c r="M215" s="189"/>
    </row>
    <row r="216" spans="1:4577" s="275" customFormat="1" ht="15.75">
      <c r="A216" s="779"/>
      <c r="B216" s="811"/>
      <c r="C216" s="810"/>
      <c r="D216" s="792"/>
      <c r="E216" s="789"/>
      <c r="F216" s="788"/>
      <c r="G216" s="788"/>
      <c r="H216" s="778"/>
      <c r="I216" s="778"/>
      <c r="J216" s="766"/>
      <c r="K216" s="764"/>
      <c r="L216" s="189"/>
      <c r="M216" s="189"/>
    </row>
    <row r="217" spans="1:4577" s="275" customFormat="1" ht="15.75">
      <c r="A217" s="779"/>
      <c r="B217" s="763"/>
      <c r="C217" s="811"/>
      <c r="D217" s="792"/>
      <c r="E217" s="789"/>
      <c r="F217" s="791"/>
      <c r="G217" s="788"/>
      <c r="H217" s="778"/>
      <c r="I217" s="778"/>
      <c r="J217" s="766"/>
      <c r="K217" s="764"/>
      <c r="L217" s="189"/>
      <c r="M217" s="189"/>
    </row>
    <row r="218" spans="1:4577" s="275" customFormat="1" ht="15.75">
      <c r="A218" s="779"/>
      <c r="B218" s="763"/>
      <c r="C218" s="811"/>
      <c r="D218" s="792"/>
      <c r="E218" s="789"/>
      <c r="F218" s="791"/>
      <c r="G218" s="788"/>
      <c r="H218" s="778"/>
      <c r="I218" s="778"/>
      <c r="J218" s="766"/>
      <c r="K218" s="764"/>
      <c r="L218" s="189"/>
      <c r="M218" s="189"/>
    </row>
    <row r="219" spans="1:4577" s="275" customFormat="1" ht="15.75">
      <c r="A219" s="779"/>
      <c r="B219" s="763"/>
      <c r="C219" s="811"/>
      <c r="D219" s="792"/>
      <c r="E219" s="789"/>
      <c r="F219" s="791"/>
      <c r="G219" s="788"/>
      <c r="H219" s="778"/>
      <c r="I219" s="778"/>
      <c r="J219" s="766"/>
      <c r="K219" s="764"/>
      <c r="L219" s="189"/>
      <c r="M219" s="189"/>
    </row>
    <row r="220" spans="1:4577" s="275" customFormat="1">
      <c r="A220" s="779"/>
      <c r="B220" s="763"/>
      <c r="C220" s="810"/>
      <c r="D220" s="792"/>
      <c r="E220" s="789"/>
      <c r="F220" s="791"/>
      <c r="G220" s="788"/>
      <c r="H220" s="778"/>
      <c r="I220" s="778"/>
      <c r="J220" s="766"/>
      <c r="K220" s="764"/>
      <c r="L220" s="189"/>
      <c r="M220" s="189"/>
    </row>
    <row r="221" spans="1:4577" s="275" customFormat="1">
      <c r="A221" s="779"/>
      <c r="B221" s="763"/>
      <c r="C221" s="810"/>
      <c r="D221" s="792"/>
      <c r="E221" s="789"/>
      <c r="F221" s="791"/>
      <c r="G221" s="788"/>
      <c r="H221" s="778"/>
      <c r="I221" s="778"/>
      <c r="J221" s="766"/>
      <c r="K221" s="764"/>
      <c r="L221" s="189"/>
      <c r="M221" s="189"/>
    </row>
    <row r="222" spans="1:4577" s="275" customFormat="1" ht="15.75">
      <c r="A222" s="779"/>
      <c r="B222" s="763"/>
      <c r="C222" s="824"/>
      <c r="D222" s="792"/>
      <c r="E222" s="789"/>
      <c r="F222" s="791"/>
      <c r="G222" s="788"/>
      <c r="H222" s="778"/>
      <c r="I222" s="778"/>
      <c r="J222" s="766"/>
      <c r="K222" s="764"/>
      <c r="L222" s="189"/>
      <c r="M222" s="189"/>
    </row>
    <row r="223" spans="1:4577" s="275" customFormat="1" ht="15.75">
      <c r="A223" s="779"/>
      <c r="B223" s="811"/>
      <c r="C223" s="815"/>
      <c r="D223" s="792"/>
      <c r="E223" s="789"/>
      <c r="F223" s="788"/>
      <c r="G223" s="788"/>
      <c r="H223" s="778"/>
      <c r="I223" s="778"/>
      <c r="J223" s="766"/>
      <c r="K223" s="764"/>
      <c r="L223" s="189"/>
      <c r="M223" s="189"/>
    </row>
    <row r="224" spans="1:4577" s="275" customFormat="1" ht="15.75">
      <c r="A224" s="779"/>
      <c r="B224" s="763"/>
      <c r="C224" s="811"/>
      <c r="D224" s="792"/>
      <c r="E224" s="789"/>
      <c r="F224" s="788"/>
      <c r="G224" s="788"/>
      <c r="H224" s="778"/>
      <c r="I224" s="778"/>
      <c r="J224" s="766"/>
      <c r="K224" s="764"/>
      <c r="L224" s="189"/>
      <c r="M224" s="189"/>
    </row>
    <row r="225" spans="1:13" s="275" customFormat="1">
      <c r="A225" s="779"/>
      <c r="B225" s="792"/>
      <c r="C225" s="815"/>
      <c r="D225" s="792"/>
      <c r="E225" s="789"/>
      <c r="F225" s="788"/>
      <c r="G225" s="788"/>
      <c r="H225" s="766"/>
      <c r="I225" s="766"/>
      <c r="J225" s="766"/>
      <c r="K225" s="764"/>
      <c r="L225" s="189"/>
      <c r="M225" s="189"/>
    </row>
    <row r="226" spans="1:13" s="275" customFormat="1" ht="15.75">
      <c r="A226" s="779"/>
      <c r="B226" s="763"/>
      <c r="C226" s="811"/>
      <c r="D226" s="812"/>
      <c r="E226" s="789"/>
      <c r="F226" s="788"/>
      <c r="G226" s="788"/>
      <c r="H226" s="766"/>
      <c r="I226" s="766"/>
      <c r="J226" s="766"/>
      <c r="K226" s="764"/>
      <c r="L226" s="189"/>
      <c r="M226" s="189"/>
    </row>
    <row r="227" spans="1:13" s="275" customFormat="1" ht="15.75">
      <c r="A227" s="779"/>
      <c r="B227" s="811"/>
      <c r="C227" s="812"/>
      <c r="D227" s="812"/>
      <c r="E227" s="789"/>
      <c r="F227" s="788"/>
      <c r="G227" s="788"/>
      <c r="H227" s="766"/>
      <c r="I227" s="766"/>
      <c r="J227" s="766"/>
      <c r="K227" s="764"/>
      <c r="L227" s="189"/>
      <c r="M227" s="189"/>
    </row>
    <row r="228" spans="1:13" s="275" customFormat="1">
      <c r="A228" s="779"/>
      <c r="B228" s="763"/>
      <c r="C228" s="812"/>
      <c r="D228" s="812"/>
      <c r="E228" s="789"/>
      <c r="F228" s="788"/>
      <c r="G228" s="788"/>
      <c r="H228" s="778"/>
      <c r="I228" s="778"/>
      <c r="J228" s="766"/>
      <c r="K228" s="764"/>
      <c r="L228" s="189"/>
      <c r="M228" s="189"/>
    </row>
    <row r="229" spans="1:13" s="275" customFormat="1">
      <c r="A229" s="779"/>
      <c r="B229" s="763"/>
      <c r="C229" s="812"/>
      <c r="D229" s="812"/>
      <c r="E229" s="789"/>
      <c r="F229" s="788"/>
      <c r="G229" s="788"/>
      <c r="H229" s="778"/>
      <c r="I229" s="778"/>
      <c r="J229" s="766"/>
      <c r="K229" s="764"/>
      <c r="L229" s="189"/>
      <c r="M229" s="189"/>
    </row>
    <row r="230" spans="1:13" s="275" customFormat="1">
      <c r="A230" s="779"/>
      <c r="B230" s="763"/>
      <c r="C230" s="825"/>
      <c r="D230" s="812"/>
      <c r="E230" s="789"/>
      <c r="F230" s="788"/>
      <c r="G230" s="788"/>
      <c r="H230" s="778"/>
      <c r="I230" s="778"/>
      <c r="J230" s="766"/>
      <c r="K230" s="764"/>
      <c r="L230" s="189"/>
      <c r="M230" s="189"/>
    </row>
    <row r="231" spans="1:13" s="275" customFormat="1">
      <c r="A231" s="779"/>
      <c r="B231" s="763"/>
      <c r="C231" s="812"/>
      <c r="D231" s="812"/>
      <c r="E231" s="789"/>
      <c r="F231" s="788"/>
      <c r="G231" s="788"/>
      <c r="H231" s="766"/>
      <c r="I231" s="766"/>
      <c r="J231" s="766"/>
      <c r="K231" s="764"/>
      <c r="L231" s="189"/>
      <c r="M231" s="189"/>
    </row>
    <row r="232" spans="1:13" s="275" customFormat="1" ht="15.75">
      <c r="A232" s="779"/>
      <c r="B232" s="763"/>
      <c r="C232" s="802"/>
      <c r="D232" s="812"/>
      <c r="E232" s="789"/>
      <c r="F232" s="788"/>
      <c r="G232" s="788"/>
      <c r="H232" s="766"/>
      <c r="I232" s="766"/>
      <c r="J232" s="766"/>
      <c r="K232" s="764"/>
      <c r="L232" s="189"/>
      <c r="M232" s="189"/>
    </row>
    <row r="233" spans="1:13" s="275" customFormat="1">
      <c r="A233" s="779"/>
      <c r="B233" s="775"/>
      <c r="C233" s="775"/>
      <c r="D233" s="793"/>
      <c r="E233" s="789"/>
      <c r="F233" s="788"/>
      <c r="G233" s="788"/>
      <c r="H233" s="766"/>
      <c r="I233" s="794"/>
      <c r="J233" s="766"/>
      <c r="K233" s="764"/>
      <c r="L233" s="189"/>
      <c r="M233" s="189"/>
    </row>
    <row r="234" spans="1:13" s="275" customFormat="1">
      <c r="A234" s="779"/>
      <c r="B234" s="775"/>
      <c r="C234" s="775"/>
      <c r="D234" s="793"/>
      <c r="E234" s="789"/>
      <c r="F234" s="788"/>
      <c r="G234" s="788"/>
      <c r="H234" s="766"/>
      <c r="I234" s="794"/>
      <c r="J234" s="766"/>
      <c r="K234" s="764"/>
      <c r="L234" s="189"/>
      <c r="M234" s="189"/>
    </row>
    <row r="235" spans="1:13" s="275" customFormat="1">
      <c r="A235" s="779"/>
      <c r="B235" s="775"/>
      <c r="C235" s="775"/>
      <c r="D235" s="793"/>
      <c r="E235" s="789"/>
      <c r="F235" s="788"/>
      <c r="G235" s="788"/>
      <c r="H235" s="766"/>
      <c r="I235" s="794"/>
      <c r="J235" s="766"/>
      <c r="K235" s="764"/>
      <c r="L235" s="189"/>
      <c r="M235" s="189"/>
    </row>
    <row r="236" spans="1:13" s="275" customFormat="1">
      <c r="A236" s="779"/>
      <c r="B236" s="775"/>
      <c r="C236" s="775"/>
      <c r="D236" s="793"/>
      <c r="E236" s="789"/>
      <c r="F236" s="788"/>
      <c r="G236" s="788"/>
      <c r="H236" s="766"/>
      <c r="I236" s="794"/>
      <c r="J236" s="766"/>
      <c r="K236" s="764"/>
      <c r="L236" s="189"/>
      <c r="M236" s="189"/>
    </row>
    <row r="237" spans="1:13" s="275" customFormat="1">
      <c r="A237" s="779"/>
      <c r="B237" s="775"/>
      <c r="C237" s="775"/>
      <c r="D237" s="793"/>
      <c r="E237" s="789"/>
      <c r="F237" s="788"/>
      <c r="G237" s="788"/>
      <c r="H237" s="766"/>
      <c r="I237" s="794"/>
      <c r="J237" s="766"/>
      <c r="K237" s="764"/>
      <c r="L237" s="189"/>
      <c r="M237" s="189"/>
    </row>
    <row r="238" spans="1:13" s="275" customFormat="1">
      <c r="A238" s="779"/>
      <c r="B238" s="775"/>
      <c r="C238" s="775"/>
      <c r="D238" s="793"/>
      <c r="E238" s="789"/>
      <c r="F238" s="788"/>
      <c r="G238" s="788"/>
      <c r="H238" s="766"/>
      <c r="I238" s="794"/>
      <c r="J238" s="766"/>
      <c r="K238" s="764"/>
      <c r="L238" s="189"/>
      <c r="M238" s="189"/>
    </row>
    <row r="239" spans="1:13" s="275" customFormat="1">
      <c r="A239" s="779"/>
      <c r="B239" s="775"/>
      <c r="C239" s="775"/>
      <c r="D239" s="793"/>
      <c r="E239" s="789"/>
      <c r="F239" s="788"/>
      <c r="G239" s="788"/>
      <c r="H239" s="766"/>
      <c r="I239" s="794"/>
      <c r="J239" s="766"/>
      <c r="K239" s="764"/>
      <c r="M239" s="189"/>
    </row>
    <row r="240" spans="1:13" s="275" customFormat="1">
      <c r="A240" s="763"/>
      <c r="B240" s="775"/>
      <c r="C240" s="775"/>
      <c r="D240" s="776"/>
      <c r="E240" s="776"/>
      <c r="F240" s="788"/>
      <c r="G240" s="788"/>
      <c r="H240" s="766"/>
      <c r="I240" s="794"/>
      <c r="J240" s="766"/>
      <c r="K240" s="764"/>
      <c r="M240" s="189"/>
    </row>
    <row r="241" spans="1:13" s="275" customFormat="1">
      <c r="A241" s="273"/>
      <c r="B241" s="117"/>
      <c r="C241" s="117"/>
      <c r="D241" s="116"/>
      <c r="E241" s="116"/>
      <c r="F241" s="278"/>
      <c r="G241" s="278"/>
      <c r="H241" s="281"/>
      <c r="I241" s="279"/>
      <c r="J241" s="281"/>
      <c r="K241" s="189"/>
      <c r="L241" s="277"/>
      <c r="M241" s="189"/>
    </row>
    <row r="242" spans="1:13" s="275" customFormat="1">
      <c r="B242" s="117"/>
      <c r="C242" s="117"/>
      <c r="D242" s="116"/>
      <c r="E242" s="116"/>
      <c r="F242" s="278"/>
      <c r="G242" s="278"/>
      <c r="H242" s="116"/>
      <c r="I242" s="279"/>
      <c r="J242" s="116"/>
      <c r="K242" s="189"/>
      <c r="M242" s="189"/>
    </row>
    <row r="243" spans="1:13" s="275" customFormat="1">
      <c r="B243" s="118"/>
      <c r="C243" s="117"/>
      <c r="D243" s="114"/>
      <c r="E243" s="118"/>
      <c r="F243" s="282"/>
      <c r="G243" s="282"/>
      <c r="H243" s="116"/>
      <c r="I243" s="279"/>
      <c r="J243" s="116"/>
      <c r="K243" s="189"/>
      <c r="M243" s="189"/>
    </row>
    <row r="244" spans="1:13" s="275" customFormat="1">
      <c r="A244" s="273"/>
      <c r="B244" s="117"/>
      <c r="C244" s="117"/>
      <c r="D244" s="120"/>
      <c r="E244" s="120"/>
      <c r="F244" s="283"/>
      <c r="G244" s="283"/>
      <c r="H244" s="123"/>
      <c r="I244" s="279"/>
      <c r="J244" s="115"/>
      <c r="K244" s="189"/>
      <c r="M244" s="189"/>
    </row>
    <row r="245" spans="1:13" s="275" customFormat="1">
      <c r="A245" s="273"/>
      <c r="B245" s="117"/>
      <c r="C245" s="117"/>
      <c r="D245" s="120"/>
      <c r="E245" s="120"/>
      <c r="F245" s="283"/>
      <c r="G245" s="283"/>
      <c r="H245" s="123"/>
      <c r="I245" s="279"/>
      <c r="J245" s="115"/>
      <c r="K245" s="189"/>
      <c r="M245" s="189"/>
    </row>
    <row r="246" spans="1:13" s="275" customFormat="1">
      <c r="A246" s="273"/>
      <c r="B246" s="117"/>
      <c r="C246" s="117"/>
      <c r="D246" s="120"/>
      <c r="E246" s="120"/>
      <c r="F246" s="283"/>
      <c r="G246" s="283"/>
      <c r="H246" s="123"/>
      <c r="I246" s="279"/>
      <c r="J246" s="123"/>
      <c r="K246" s="189"/>
      <c r="M246" s="189"/>
    </row>
    <row r="247" spans="1:13" s="275" customFormat="1">
      <c r="A247" s="273"/>
      <c r="C247" s="117"/>
      <c r="D247" s="120"/>
      <c r="E247" s="120"/>
      <c r="F247" s="283"/>
      <c r="G247" s="283"/>
      <c r="H247" s="123"/>
      <c r="I247" s="279"/>
      <c r="J247" s="123"/>
      <c r="K247" s="189"/>
      <c r="M247" s="189"/>
    </row>
    <row r="248" spans="1:13" s="275" customFormat="1">
      <c r="A248" s="273"/>
      <c r="B248" s="117"/>
      <c r="C248" s="117"/>
      <c r="D248" s="120"/>
      <c r="E248" s="120"/>
      <c r="F248" s="278"/>
      <c r="G248" s="278"/>
      <c r="H248" s="123"/>
      <c r="I248" s="279"/>
      <c r="J248" s="115"/>
      <c r="K248" s="189"/>
      <c r="M248" s="189"/>
    </row>
    <row r="249" spans="1:13" s="275" customFormat="1">
      <c r="A249" s="273"/>
      <c r="B249" s="117"/>
      <c r="C249" s="117"/>
      <c r="D249" s="120"/>
      <c r="E249" s="120"/>
      <c r="F249" s="278"/>
      <c r="G249" s="278"/>
      <c r="H249" s="123"/>
      <c r="I249" s="279"/>
      <c r="J249" s="115"/>
      <c r="K249" s="189"/>
      <c r="M249" s="189"/>
    </row>
    <row r="250" spans="1:13" s="275" customFormat="1">
      <c r="A250" s="273"/>
      <c r="B250" s="117"/>
      <c r="C250" s="117"/>
      <c r="D250" s="120"/>
      <c r="E250" s="120"/>
      <c r="F250" s="278"/>
      <c r="G250" s="278"/>
      <c r="H250" s="123"/>
      <c r="I250" s="279"/>
      <c r="J250" s="115"/>
      <c r="K250" s="189"/>
      <c r="M250" s="189"/>
    </row>
    <row r="251" spans="1:13" s="275" customFormat="1">
      <c r="A251" s="273"/>
      <c r="B251" s="117"/>
      <c r="C251" s="117"/>
      <c r="D251" s="120"/>
      <c r="E251" s="120"/>
      <c r="F251" s="826"/>
      <c r="G251" s="826"/>
      <c r="H251" s="123"/>
      <c r="I251" s="279"/>
      <c r="J251" s="115"/>
      <c r="K251" s="189"/>
      <c r="M251" s="189"/>
    </row>
    <row r="252" spans="1:13" s="275" customFormat="1">
      <c r="A252" s="273"/>
      <c r="B252" s="117"/>
      <c r="C252" s="117"/>
      <c r="D252" s="120"/>
      <c r="E252" s="120"/>
      <c r="F252" s="827"/>
      <c r="G252" s="827"/>
      <c r="H252" s="123"/>
      <c r="I252" s="279"/>
      <c r="J252" s="123"/>
      <c r="K252" s="189"/>
      <c r="M252" s="189"/>
    </row>
    <row r="253" spans="1:13" s="275" customFormat="1">
      <c r="B253" s="117"/>
      <c r="C253" s="117"/>
      <c r="D253" s="120"/>
      <c r="E253" s="120"/>
      <c r="F253" s="828"/>
      <c r="G253" s="828"/>
      <c r="H253" s="123"/>
      <c r="I253" s="279"/>
      <c r="J253" s="123"/>
      <c r="K253" s="189"/>
      <c r="M253" s="189"/>
    </row>
    <row r="254" spans="1:13" s="275" customFormat="1">
      <c r="A254" s="273"/>
      <c r="B254" s="117"/>
      <c r="C254" s="117"/>
      <c r="D254" s="829"/>
      <c r="E254" s="829"/>
      <c r="F254" s="830"/>
      <c r="G254" s="826"/>
      <c r="H254" s="123"/>
      <c r="I254" s="279"/>
      <c r="J254" s="115"/>
      <c r="K254" s="189"/>
      <c r="M254" s="189"/>
    </row>
    <row r="255" spans="1:13" s="275" customFormat="1">
      <c r="A255" s="273"/>
      <c r="B255" s="117"/>
      <c r="C255" s="117"/>
      <c r="D255" s="120"/>
      <c r="E255" s="120"/>
      <c r="F255" s="826"/>
      <c r="G255" s="826"/>
      <c r="H255" s="123"/>
      <c r="I255" s="279"/>
      <c r="J255" s="115"/>
      <c r="K255" s="189"/>
      <c r="M255" s="189"/>
    </row>
    <row r="256" spans="1:13" s="275" customFormat="1">
      <c r="A256" s="273"/>
      <c r="B256" s="117"/>
      <c r="C256" s="117"/>
      <c r="D256" s="120"/>
      <c r="E256" s="120"/>
      <c r="F256" s="826"/>
      <c r="G256" s="826"/>
      <c r="H256" s="116"/>
      <c r="I256" s="279"/>
      <c r="J256" s="116"/>
      <c r="K256" s="189"/>
      <c r="M256" s="189"/>
    </row>
    <row r="257" spans="1:13" s="275" customFormat="1">
      <c r="B257" s="117"/>
      <c r="C257" s="117"/>
      <c r="D257" s="831"/>
      <c r="E257" s="831"/>
      <c r="F257" s="831"/>
      <c r="G257" s="831"/>
      <c r="H257" s="831"/>
      <c r="I257" s="279"/>
      <c r="J257" s="831"/>
      <c r="K257" s="189"/>
      <c r="M257" s="189"/>
    </row>
    <row r="258" spans="1:13" s="275" customFormat="1">
      <c r="A258" s="273"/>
      <c r="B258" s="117"/>
      <c r="C258" s="117"/>
      <c r="D258" s="116"/>
      <c r="E258" s="116"/>
      <c r="F258" s="278"/>
      <c r="G258" s="278"/>
      <c r="H258" s="116"/>
      <c r="I258" s="279"/>
      <c r="J258" s="116"/>
      <c r="K258" s="189"/>
      <c r="M258" s="189"/>
    </row>
    <row r="259" spans="1:13" s="275" customFormat="1">
      <c r="B259" s="117"/>
      <c r="C259" s="117"/>
      <c r="D259" s="116"/>
      <c r="E259" s="116"/>
      <c r="F259" s="278"/>
      <c r="G259" s="278"/>
      <c r="H259" s="123"/>
      <c r="I259" s="279"/>
      <c r="J259" s="123"/>
      <c r="K259" s="189"/>
      <c r="M259" s="189"/>
    </row>
    <row r="260" spans="1:13" s="275" customFormat="1">
      <c r="A260" s="273"/>
      <c r="B260" s="117"/>
      <c r="C260" s="117"/>
      <c r="D260" s="118"/>
      <c r="E260" s="118"/>
      <c r="F260" s="826"/>
      <c r="G260" s="278"/>
      <c r="H260" s="123"/>
      <c r="I260" s="279"/>
      <c r="J260" s="115"/>
      <c r="K260" s="189"/>
      <c r="M260" s="189"/>
    </row>
    <row r="261" spans="1:13" s="275" customFormat="1">
      <c r="A261" s="273"/>
      <c r="B261" s="117"/>
      <c r="C261" s="117"/>
      <c r="D261" s="118"/>
      <c r="E261" s="118"/>
      <c r="F261" s="826"/>
      <c r="G261" s="826"/>
      <c r="H261" s="123"/>
      <c r="I261" s="279"/>
      <c r="J261" s="115"/>
      <c r="K261" s="189"/>
      <c r="M261" s="189"/>
    </row>
    <row r="262" spans="1:13" s="275" customFormat="1">
      <c r="A262" s="273"/>
      <c r="B262" s="117"/>
      <c r="C262" s="117"/>
      <c r="D262" s="832"/>
      <c r="E262" s="832"/>
      <c r="F262" s="833"/>
      <c r="G262" s="833"/>
      <c r="H262" s="116"/>
      <c r="I262" s="279"/>
      <c r="J262" s="116"/>
      <c r="K262" s="189"/>
      <c r="M262" s="189"/>
    </row>
    <row r="263" spans="1:13" s="275" customFormat="1">
      <c r="B263" s="117"/>
      <c r="C263" s="117"/>
      <c r="D263" s="120"/>
      <c r="E263" s="120"/>
      <c r="F263" s="833"/>
      <c r="G263" s="833"/>
      <c r="H263" s="123"/>
      <c r="I263" s="279"/>
      <c r="J263" s="123"/>
      <c r="K263" s="189"/>
      <c r="M263" s="189"/>
    </row>
    <row r="264" spans="1:13" s="275" customFormat="1">
      <c r="A264" s="273"/>
      <c r="B264" s="117"/>
      <c r="C264" s="117"/>
      <c r="D264" s="120"/>
      <c r="E264" s="120"/>
      <c r="F264" s="833"/>
      <c r="G264" s="833"/>
      <c r="H264" s="123"/>
      <c r="I264" s="279"/>
      <c r="J264" s="123"/>
      <c r="K264" s="189"/>
      <c r="M264" s="189"/>
    </row>
    <row r="265" spans="1:13" s="275" customFormat="1">
      <c r="B265" s="117"/>
      <c r="C265" s="117"/>
      <c r="D265" s="120"/>
      <c r="E265" s="120"/>
      <c r="F265" s="833"/>
      <c r="G265" s="833"/>
      <c r="H265" s="116"/>
      <c r="I265" s="279"/>
      <c r="J265" s="116"/>
      <c r="K265" s="189"/>
      <c r="L265" s="277"/>
      <c r="M265" s="189"/>
    </row>
    <row r="266" spans="1:13" s="275" customFormat="1">
      <c r="A266" s="273"/>
      <c r="B266" s="117"/>
      <c r="C266" s="117"/>
      <c r="D266" s="115"/>
      <c r="E266" s="115"/>
      <c r="F266" s="833"/>
      <c r="G266" s="833"/>
      <c r="H266" s="116"/>
      <c r="I266" s="279"/>
      <c r="J266" s="116"/>
      <c r="K266" s="189"/>
      <c r="M266" s="189"/>
    </row>
    <row r="267" spans="1:13" s="275" customFormat="1">
      <c r="B267" s="117"/>
      <c r="C267" s="117"/>
      <c r="D267" s="116"/>
      <c r="E267" s="116"/>
      <c r="F267" s="278"/>
      <c r="G267" s="278"/>
      <c r="H267" s="834"/>
      <c r="I267" s="279"/>
      <c r="J267" s="834"/>
      <c r="K267" s="189"/>
      <c r="M267" s="189"/>
    </row>
    <row r="268" spans="1:13" s="823" customFormat="1">
      <c r="A268" s="280"/>
      <c r="B268" s="835"/>
      <c r="C268" s="835"/>
      <c r="D268" s="836"/>
      <c r="E268" s="836"/>
      <c r="F268" s="837"/>
      <c r="G268" s="837"/>
      <c r="H268" s="838"/>
      <c r="I268" s="839"/>
      <c r="J268" s="838"/>
      <c r="K268" s="840"/>
      <c r="L268" s="841"/>
      <c r="M268" s="840"/>
    </row>
    <row r="269" spans="1:13" s="275" customFormat="1">
      <c r="A269" s="273"/>
      <c r="B269" s="117"/>
      <c r="C269" s="117"/>
      <c r="D269" s="115"/>
      <c r="E269" s="115"/>
      <c r="F269" s="278"/>
      <c r="G269" s="278"/>
      <c r="H269" s="278"/>
      <c r="I269" s="279"/>
      <c r="J269" s="278"/>
      <c r="K269" s="189"/>
      <c r="M269" s="189"/>
    </row>
    <row r="270" spans="1:13" s="275" customFormat="1">
      <c r="A270" s="273"/>
      <c r="B270" s="117"/>
      <c r="C270" s="117"/>
      <c r="D270" s="115"/>
      <c r="E270" s="115"/>
      <c r="F270" s="278"/>
      <c r="G270" s="278"/>
      <c r="H270" s="278"/>
      <c r="I270" s="279"/>
      <c r="J270" s="278"/>
      <c r="K270" s="189"/>
      <c r="M270" s="189"/>
    </row>
    <row r="271" spans="1:13" s="275" customFormat="1">
      <c r="A271" s="273"/>
      <c r="B271" s="115"/>
      <c r="D271" s="114"/>
      <c r="E271" s="115"/>
      <c r="F271" s="278"/>
      <c r="G271" s="278"/>
      <c r="H271" s="842"/>
      <c r="I271" s="279"/>
      <c r="J271" s="842"/>
      <c r="K271" s="189"/>
      <c r="M271" s="189"/>
    </row>
    <row r="272" spans="1:13" s="275" customFormat="1">
      <c r="A272" s="273"/>
      <c r="B272" s="117"/>
      <c r="C272" s="115"/>
      <c r="D272" s="114"/>
      <c r="E272" s="115"/>
      <c r="F272" s="278"/>
      <c r="G272" s="278"/>
      <c r="H272" s="842"/>
      <c r="I272" s="279"/>
      <c r="J272" s="842"/>
      <c r="K272" s="189"/>
      <c r="M272" s="189"/>
    </row>
    <row r="273" spans="1:13" s="275" customFormat="1">
      <c r="A273" s="273"/>
      <c r="B273" s="117"/>
      <c r="C273" s="117"/>
      <c r="D273" s="116"/>
      <c r="E273" s="116"/>
      <c r="F273" s="278"/>
      <c r="G273" s="278"/>
      <c r="H273" s="123"/>
      <c r="I273" s="279"/>
      <c r="J273" s="115"/>
      <c r="K273" s="189"/>
      <c r="M273" s="189"/>
    </row>
    <row r="274" spans="1:13" s="275" customFormat="1">
      <c r="A274" s="273"/>
      <c r="B274" s="117"/>
      <c r="C274" s="117"/>
      <c r="D274" s="115"/>
      <c r="E274" s="115"/>
      <c r="F274" s="278"/>
      <c r="G274" s="278"/>
      <c r="H274" s="123"/>
      <c r="I274" s="279"/>
      <c r="J274" s="115"/>
      <c r="K274" s="189"/>
      <c r="M274" s="189"/>
    </row>
    <row r="275" spans="1:13" s="275" customFormat="1">
      <c r="A275" s="273"/>
      <c r="B275" s="117"/>
      <c r="C275" s="117"/>
      <c r="D275" s="115"/>
      <c r="E275" s="115"/>
      <c r="F275" s="278"/>
      <c r="G275" s="278"/>
      <c r="H275" s="123"/>
      <c r="I275" s="279"/>
      <c r="J275" s="115"/>
      <c r="K275" s="189"/>
      <c r="M275" s="189"/>
    </row>
    <row r="276" spans="1:13" s="275" customFormat="1">
      <c r="A276" s="273"/>
      <c r="B276" s="117"/>
      <c r="C276" s="117"/>
      <c r="D276" s="274"/>
      <c r="E276" s="116"/>
      <c r="F276" s="278"/>
      <c r="G276" s="278"/>
      <c r="H276" s="116"/>
      <c r="I276" s="279"/>
      <c r="J276" s="116"/>
      <c r="K276" s="189"/>
      <c r="M276" s="189"/>
    </row>
    <row r="277" spans="1:13" s="275" customFormat="1">
      <c r="A277" s="273"/>
      <c r="B277" s="117"/>
      <c r="C277" s="119"/>
      <c r="D277" s="116"/>
      <c r="E277" s="116"/>
      <c r="F277" s="278"/>
      <c r="G277" s="278"/>
      <c r="H277" s="116"/>
      <c r="I277" s="279"/>
      <c r="J277" s="116"/>
      <c r="K277" s="189"/>
      <c r="M277" s="189"/>
    </row>
    <row r="278" spans="1:13" s="275" customFormat="1">
      <c r="A278" s="273"/>
      <c r="B278" s="117"/>
      <c r="C278" s="117"/>
      <c r="D278" s="116"/>
      <c r="E278" s="116"/>
      <c r="F278" s="278"/>
      <c r="G278" s="278"/>
      <c r="H278" s="116"/>
      <c r="I278" s="279"/>
      <c r="J278" s="116"/>
      <c r="K278" s="189"/>
      <c r="M278" s="189"/>
    </row>
    <row r="279" spans="1:13" s="275" customFormat="1">
      <c r="A279" s="273"/>
      <c r="B279" s="117"/>
      <c r="C279" s="117"/>
      <c r="D279" s="116"/>
      <c r="E279" s="116"/>
      <c r="F279" s="116"/>
      <c r="G279" s="116"/>
      <c r="H279" s="123"/>
      <c r="I279" s="279"/>
      <c r="J279" s="115"/>
      <c r="K279" s="189"/>
      <c r="M279" s="189"/>
    </row>
    <row r="280" spans="1:13" s="275" customFormat="1">
      <c r="A280" s="273"/>
      <c r="B280" s="117"/>
      <c r="C280" s="117"/>
      <c r="D280" s="116"/>
      <c r="E280" s="116"/>
      <c r="F280" s="116"/>
      <c r="G280" s="116"/>
      <c r="H280" s="123"/>
      <c r="I280" s="279"/>
      <c r="J280" s="115"/>
      <c r="K280" s="189"/>
      <c r="M280" s="189"/>
    </row>
    <row r="281" spans="1:13" s="275" customFormat="1">
      <c r="A281" s="273"/>
      <c r="B281" s="117"/>
      <c r="C281" s="117"/>
      <c r="D281" s="116"/>
      <c r="E281" s="116"/>
      <c r="F281" s="116"/>
      <c r="G281" s="116"/>
      <c r="H281" s="123"/>
      <c r="I281" s="279"/>
      <c r="J281" s="115"/>
      <c r="K281" s="189"/>
      <c r="M281" s="189"/>
    </row>
    <row r="282" spans="1:13" s="275" customFormat="1">
      <c r="A282" s="273"/>
      <c r="B282" s="117"/>
      <c r="C282" s="117"/>
      <c r="D282" s="115"/>
      <c r="E282" s="115"/>
      <c r="F282" s="278"/>
      <c r="G282" s="278"/>
      <c r="H282" s="116"/>
      <c r="I282" s="279"/>
      <c r="J282" s="116"/>
      <c r="K282" s="189"/>
      <c r="M282" s="189"/>
    </row>
    <row r="283" spans="1:13" s="275" customFormat="1">
      <c r="A283" s="273"/>
      <c r="B283" s="117"/>
      <c r="C283" s="117"/>
      <c r="D283" s="115"/>
      <c r="E283" s="115"/>
      <c r="F283" s="278"/>
      <c r="G283" s="278"/>
      <c r="H283" s="116"/>
      <c r="I283" s="279"/>
      <c r="J283" s="116"/>
      <c r="K283" s="189"/>
      <c r="M283" s="189"/>
    </row>
    <row r="284" spans="1:13" s="275" customFormat="1">
      <c r="A284" s="276"/>
      <c r="B284" s="117"/>
      <c r="C284" s="117"/>
      <c r="D284" s="115"/>
      <c r="E284" s="115"/>
      <c r="F284" s="278"/>
      <c r="G284" s="278"/>
      <c r="H284" s="123"/>
      <c r="I284" s="279"/>
      <c r="J284" s="115"/>
      <c r="K284" s="189"/>
      <c r="M284" s="189"/>
    </row>
    <row r="285" spans="1:13" s="275" customFormat="1">
      <c r="A285" s="273"/>
      <c r="B285" s="117"/>
      <c r="C285" s="117"/>
      <c r="D285" s="115"/>
      <c r="E285" s="115"/>
      <c r="F285" s="278"/>
      <c r="G285" s="278"/>
      <c r="H285" s="123"/>
      <c r="I285" s="279"/>
      <c r="J285" s="115"/>
      <c r="K285" s="189"/>
      <c r="M285" s="189"/>
    </row>
    <row r="286" spans="1:13" s="275" customFormat="1">
      <c r="A286" s="273"/>
      <c r="B286" s="117"/>
      <c r="C286" s="117"/>
      <c r="D286" s="115"/>
      <c r="E286" s="115"/>
      <c r="F286" s="278"/>
      <c r="G286" s="278"/>
      <c r="H286" s="123"/>
      <c r="I286" s="279"/>
      <c r="J286" s="115"/>
      <c r="K286" s="189"/>
      <c r="M286" s="189"/>
    </row>
    <row r="287" spans="1:13" s="275" customFormat="1">
      <c r="A287" s="273"/>
      <c r="B287" s="117"/>
      <c r="C287" s="117"/>
      <c r="D287" s="843"/>
      <c r="E287" s="843"/>
      <c r="F287" s="278"/>
      <c r="G287" s="278"/>
      <c r="H287" s="123"/>
      <c r="I287" s="279"/>
      <c r="J287" s="115"/>
      <c r="K287" s="189"/>
      <c r="M287" s="189"/>
    </row>
    <row r="288" spans="1:13" s="275" customFormat="1">
      <c r="A288" s="273"/>
      <c r="B288" s="117"/>
      <c r="C288" s="117"/>
      <c r="D288" s="115"/>
      <c r="E288" s="115"/>
      <c r="F288" s="278"/>
      <c r="G288" s="278"/>
      <c r="H288" s="116"/>
      <c r="I288" s="279"/>
      <c r="J288" s="116"/>
      <c r="K288" s="844"/>
      <c r="M288" s="189"/>
    </row>
    <row r="289" spans="1:13" s="275" customFormat="1">
      <c r="A289" s="273"/>
      <c r="B289" s="117"/>
      <c r="C289" s="117"/>
      <c r="D289" s="115"/>
      <c r="E289" s="115"/>
      <c r="F289" s="278"/>
      <c r="G289" s="278"/>
      <c r="H289" s="116"/>
      <c r="I289" s="845"/>
      <c r="J289" s="116"/>
      <c r="K289" s="189"/>
      <c r="M289" s="189"/>
    </row>
    <row r="290" spans="1:13" s="275" customFormat="1">
      <c r="A290" s="273"/>
      <c r="B290" s="117"/>
      <c r="C290" s="117"/>
      <c r="D290" s="843"/>
      <c r="E290" s="843"/>
      <c r="F290" s="278"/>
      <c r="G290" s="278"/>
      <c r="H290" s="123"/>
      <c r="I290" s="279"/>
      <c r="J290" s="115"/>
      <c r="K290" s="189"/>
      <c r="M290" s="189"/>
    </row>
    <row r="291" spans="1:13" s="275" customFormat="1">
      <c r="A291" s="273"/>
      <c r="B291" s="117"/>
      <c r="C291" s="117"/>
      <c r="D291" s="843"/>
      <c r="E291" s="843"/>
      <c r="F291" s="278"/>
      <c r="G291" s="278"/>
      <c r="H291" s="116"/>
      <c r="I291" s="279"/>
      <c r="J291" s="116"/>
      <c r="K291" s="844"/>
      <c r="M291" s="189"/>
    </row>
    <row r="292" spans="1:13" s="275" customFormat="1">
      <c r="A292" s="273"/>
      <c r="B292" s="117"/>
      <c r="C292" s="117"/>
      <c r="D292" s="843"/>
      <c r="E292" s="843"/>
      <c r="F292" s="278"/>
      <c r="G292" s="278"/>
      <c r="H292" s="846"/>
      <c r="I292" s="279"/>
      <c r="J292" s="846"/>
      <c r="K292" s="189"/>
      <c r="M292" s="189"/>
    </row>
    <row r="293" spans="1:13" s="275" customFormat="1">
      <c r="A293" s="273"/>
      <c r="B293" s="117"/>
      <c r="C293" s="117"/>
      <c r="D293" s="843"/>
      <c r="E293" s="843"/>
      <c r="F293" s="278"/>
      <c r="G293" s="278"/>
      <c r="H293" s="281"/>
      <c r="I293" s="279"/>
      <c r="J293" s="281"/>
      <c r="K293" s="189"/>
      <c r="M293" s="189"/>
    </row>
    <row r="294" spans="1:13" s="275" customFormat="1">
      <c r="A294" s="273"/>
      <c r="B294" s="117"/>
      <c r="C294" s="117"/>
      <c r="D294" s="116"/>
      <c r="E294" s="116"/>
      <c r="F294" s="278"/>
      <c r="G294" s="278"/>
      <c r="H294" s="116"/>
      <c r="I294" s="279"/>
      <c r="J294" s="116"/>
      <c r="K294" s="189"/>
      <c r="M294" s="189"/>
    </row>
    <row r="295" spans="1:13" s="275" customFormat="1" ht="15.75">
      <c r="A295" s="273"/>
      <c r="B295" s="117"/>
      <c r="C295" s="117"/>
      <c r="D295" s="115"/>
      <c r="E295" s="115"/>
      <c r="F295" s="847"/>
      <c r="G295" s="847"/>
      <c r="H295" s="281"/>
      <c r="I295" s="279"/>
      <c r="J295" s="281"/>
      <c r="K295" s="189"/>
      <c r="M295" s="189"/>
    </row>
    <row r="296" spans="1:13" s="275" customFormat="1">
      <c r="A296" s="273"/>
      <c r="B296" s="117"/>
      <c r="C296" s="117"/>
      <c r="D296" s="115"/>
      <c r="E296" s="115"/>
      <c r="F296" s="848"/>
      <c r="G296" s="848"/>
      <c r="H296" s="116"/>
      <c r="I296" s="279"/>
      <c r="J296" s="116"/>
      <c r="K296" s="189"/>
      <c r="M296" s="189"/>
    </row>
    <row r="297" spans="1:13" s="275" customFormat="1">
      <c r="K297" s="189"/>
      <c r="M297" s="189"/>
    </row>
    <row r="298" spans="1:13" s="275" customFormat="1">
      <c r="K298" s="189"/>
      <c r="M298" s="189"/>
    </row>
    <row r="299" spans="1:13" s="275" customFormat="1">
      <c r="K299" s="189"/>
      <c r="M299" s="189"/>
    </row>
    <row r="300" spans="1:13" s="275" customFormat="1">
      <c r="K300" s="189"/>
      <c r="M300" s="189"/>
    </row>
    <row r="301" spans="1:13" s="275" customFormat="1">
      <c r="K301" s="189"/>
      <c r="M301" s="189"/>
    </row>
    <row r="302" spans="1:13" s="275" customFormat="1">
      <c r="K302" s="189"/>
      <c r="M302" s="189"/>
    </row>
    <row r="303" spans="1:13" s="275" customFormat="1">
      <c r="K303" s="189"/>
      <c r="M303" s="189"/>
    </row>
    <row r="304" spans="1:13" s="275" customFormat="1">
      <c r="K304" s="189"/>
      <c r="M304" s="189"/>
    </row>
    <row r="305" spans="11:13" s="275" customFormat="1">
      <c r="K305" s="189"/>
      <c r="M305" s="189"/>
    </row>
    <row r="306" spans="11:13" s="275" customFormat="1">
      <c r="K306" s="189"/>
      <c r="M306" s="189"/>
    </row>
    <row r="307" spans="11:13" s="275" customFormat="1">
      <c r="K307" s="189"/>
      <c r="M307" s="189"/>
    </row>
  </sheetData>
  <mergeCells count="3">
    <mergeCell ref="H140:I140"/>
    <mergeCell ref="H4:I4"/>
    <mergeCell ref="A4:B4"/>
  </mergeCells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4" tint="0.59999389629810485"/>
  </sheetPr>
  <dimension ref="A1:ABS2090"/>
  <sheetViews>
    <sheetView topLeftCell="C3" zoomScale="90" zoomScaleNormal="90" workbookViewId="0">
      <selection activeCell="E3" sqref="E3"/>
    </sheetView>
  </sheetViews>
  <sheetFormatPr defaultRowHeight="15"/>
  <cols>
    <col min="1" max="1" width="13.33203125" style="149" hidden="1" customWidth="1"/>
    <col min="2" max="2" width="14.109375" style="149" hidden="1" customWidth="1"/>
    <col min="3" max="3" width="8.6640625" style="149" customWidth="1"/>
    <col min="4" max="4" width="1.21875" style="149" customWidth="1"/>
    <col min="5" max="5" width="43.6640625" style="149" customWidth="1"/>
    <col min="6" max="6" width="1.33203125" style="149" customWidth="1"/>
    <col min="7" max="7" width="3.5546875" style="159" customWidth="1"/>
    <col min="8" max="8" width="1.44140625" style="149" customWidth="1"/>
    <col min="9" max="9" width="14.77734375" style="149" customWidth="1"/>
    <col min="10" max="10" width="1.44140625" style="149" customWidth="1"/>
    <col min="11" max="11" width="13.109375" style="149" bestFit="1" customWidth="1"/>
    <col min="12" max="12" width="1.6640625" style="149" customWidth="1"/>
    <col min="13" max="13" width="13.109375" style="149" bestFit="1" customWidth="1"/>
    <col min="14" max="14" width="1.21875" style="149" customWidth="1"/>
    <col min="15" max="15" width="13.109375" style="149" bestFit="1" customWidth="1"/>
    <col min="16" max="16" width="1.21875" style="149" customWidth="1"/>
    <col min="17" max="17" width="13.109375" style="149" bestFit="1" customWidth="1"/>
    <col min="18" max="18" width="1.44140625" style="149" customWidth="1"/>
    <col min="19" max="19" width="12.109375" style="149" bestFit="1" customWidth="1"/>
    <col min="20" max="20" width="1.109375" style="149" customWidth="1"/>
    <col min="21" max="21" width="12" style="149" bestFit="1" customWidth="1"/>
    <col min="22" max="22" width="2" style="149" customWidth="1"/>
    <col min="23" max="23" width="13.109375" style="149" bestFit="1" customWidth="1"/>
    <col min="24" max="24" width="1.5546875" style="149" customWidth="1"/>
    <col min="25" max="25" width="13.109375" style="149" bestFit="1" customWidth="1"/>
    <col min="26" max="26" width="1.44140625" style="149" customWidth="1"/>
    <col min="27" max="27" width="12" style="149" bestFit="1" customWidth="1"/>
    <col min="28" max="28" width="0.77734375" style="149" customWidth="1"/>
    <col min="29" max="29" width="12" style="149" bestFit="1" customWidth="1"/>
    <col min="30" max="30" width="1.44140625" style="149" customWidth="1"/>
    <col min="31" max="31" width="12.109375" style="149" bestFit="1" customWidth="1"/>
    <col min="32" max="32" width="1.6640625" style="149" customWidth="1"/>
    <col min="33" max="33" width="11.6640625" style="149" bestFit="1" customWidth="1"/>
    <col min="34" max="34" width="2.5546875" style="149" customWidth="1"/>
    <col min="35" max="35" width="15.44140625" style="149" bestFit="1" customWidth="1"/>
    <col min="36" max="36" width="13.5546875" style="149" bestFit="1" customWidth="1"/>
    <col min="37" max="37" width="8.88671875" style="149"/>
  </cols>
  <sheetData>
    <row r="1" spans="1:38">
      <c r="A1" s="87"/>
      <c r="B1" s="148"/>
      <c r="H1" s="150"/>
      <c r="I1" s="151" t="s">
        <v>274</v>
      </c>
      <c r="J1" s="152"/>
      <c r="L1" s="150"/>
    </row>
    <row r="3" spans="1:38" ht="15.75">
      <c r="C3" s="257" t="s">
        <v>803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38" ht="15.75">
      <c r="C4" s="94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94"/>
      <c r="AE4" s="258"/>
      <c r="AF4" s="258"/>
      <c r="AG4" s="258"/>
    </row>
    <row r="5" spans="1:38" ht="15.75">
      <c r="C5" s="257" t="s">
        <v>805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</row>
    <row r="6" spans="1:38" ht="15.75">
      <c r="C6" s="257" t="s">
        <v>576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8" ht="7.15" customHeight="1"/>
    <row r="8" spans="1:38"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38" ht="15.75">
      <c r="I9" s="27"/>
      <c r="J9" s="40"/>
      <c r="K9" s="1028" t="s">
        <v>252</v>
      </c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40"/>
      <c r="W9" s="131" t="s">
        <v>253</v>
      </c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40"/>
      <c r="AI9" s="27"/>
      <c r="AJ9" s="27"/>
      <c r="AK9" s="27"/>
      <c r="AL9" s="27"/>
    </row>
    <row r="10" spans="1:38" ht="15.75">
      <c r="C10" s="150"/>
      <c r="D10" s="150"/>
      <c r="E10" s="150"/>
      <c r="G10" s="45" t="s">
        <v>186</v>
      </c>
      <c r="I10" s="42" t="s">
        <v>215</v>
      </c>
      <c r="J10" s="27"/>
      <c r="K10" s="40"/>
      <c r="L10" s="40"/>
      <c r="M10" s="42"/>
      <c r="N10" s="42"/>
      <c r="O10" s="42"/>
      <c r="P10" s="42"/>
      <c r="Q10" s="42"/>
      <c r="R10" s="40"/>
      <c r="S10" s="42"/>
      <c r="T10" s="42"/>
      <c r="U10" s="42"/>
      <c r="V10" s="27"/>
      <c r="W10" s="40"/>
      <c r="X10" s="40"/>
      <c r="Y10" s="42"/>
      <c r="Z10" s="42"/>
      <c r="AA10" s="42"/>
      <c r="AB10" s="42"/>
      <c r="AC10" s="42"/>
      <c r="AD10" s="40"/>
      <c r="AE10" s="42"/>
      <c r="AF10" s="42"/>
      <c r="AG10" s="42"/>
      <c r="AH10" s="40"/>
      <c r="AI10" s="27"/>
      <c r="AJ10" s="27"/>
      <c r="AK10" s="27"/>
      <c r="AL10" s="27"/>
    </row>
    <row r="11" spans="1:38" ht="15.75">
      <c r="B11" s="150"/>
      <c r="C11" s="1028" t="s">
        <v>258</v>
      </c>
      <c r="D11" s="1028"/>
      <c r="E11" s="1028"/>
      <c r="F11" s="150"/>
      <c r="G11" s="41" t="s">
        <v>273</v>
      </c>
      <c r="H11" s="150"/>
      <c r="I11" s="41" t="s">
        <v>171</v>
      </c>
      <c r="J11" s="40"/>
      <c r="K11" s="41" t="s">
        <v>318</v>
      </c>
      <c r="L11" s="27"/>
      <c r="M11" s="41" t="s">
        <v>314</v>
      </c>
      <c r="N11" s="40"/>
      <c r="O11" s="41" t="s">
        <v>315</v>
      </c>
      <c r="P11" s="42"/>
      <c r="Q11" s="41" t="s">
        <v>316</v>
      </c>
      <c r="R11" s="27"/>
      <c r="S11" s="41" t="s">
        <v>461</v>
      </c>
      <c r="T11" s="42"/>
      <c r="U11" s="303" t="s">
        <v>424</v>
      </c>
      <c r="V11" s="27"/>
      <c r="W11" s="41" t="s">
        <v>318</v>
      </c>
      <c r="X11" s="27"/>
      <c r="Y11" s="41" t="s">
        <v>314</v>
      </c>
      <c r="Z11" s="40"/>
      <c r="AA11" s="41" t="s">
        <v>315</v>
      </c>
      <c r="AB11" s="42"/>
      <c r="AC11" s="41" t="s">
        <v>316</v>
      </c>
      <c r="AD11" s="27"/>
      <c r="AE11" s="41" t="s">
        <v>461</v>
      </c>
      <c r="AF11" s="42"/>
      <c r="AG11" s="303" t="s">
        <v>424</v>
      </c>
      <c r="AH11" s="27"/>
      <c r="AI11" s="27"/>
      <c r="AJ11" s="27"/>
      <c r="AK11" s="27"/>
      <c r="AL11" s="27"/>
    </row>
    <row r="12" spans="1:38" ht="15.75">
      <c r="C12" s="1029">
        <v>-1</v>
      </c>
      <c r="D12" s="1029"/>
      <c r="E12" s="1029"/>
      <c r="F12" s="27"/>
      <c r="G12" s="46">
        <v>-2</v>
      </c>
      <c r="H12" s="27"/>
      <c r="I12" s="46">
        <v>-3</v>
      </c>
      <c r="J12" s="27"/>
      <c r="K12" s="46">
        <v>-4</v>
      </c>
      <c r="L12" s="27"/>
      <c r="M12" s="46">
        <v>-5</v>
      </c>
      <c r="N12" s="27"/>
      <c r="O12" s="46">
        <v>-6</v>
      </c>
      <c r="P12" s="46"/>
      <c r="Q12" s="46">
        <f>+O12-1</f>
        <v>-7</v>
      </c>
      <c r="R12" s="46"/>
      <c r="S12" s="46">
        <f>+Q12-1</f>
        <v>-8</v>
      </c>
      <c r="T12" s="46"/>
      <c r="U12" s="46">
        <f>S12-1</f>
        <v>-9</v>
      </c>
      <c r="V12" s="46"/>
      <c r="W12" s="46">
        <f t="shared" ref="W12" si="0">+U12-1</f>
        <v>-10</v>
      </c>
      <c r="X12" s="46"/>
      <c r="Y12" s="46">
        <f t="shared" ref="Y12" si="1">+W12-1</f>
        <v>-11</v>
      </c>
      <c r="Z12" s="46"/>
      <c r="AA12" s="46">
        <f t="shared" ref="AA12" si="2">+Y12-1</f>
        <v>-12</v>
      </c>
      <c r="AB12" s="46"/>
      <c r="AC12" s="46">
        <f t="shared" ref="AC12" si="3">+AA12-1</f>
        <v>-13</v>
      </c>
      <c r="AD12" s="46"/>
      <c r="AE12" s="46">
        <f t="shared" ref="AE12" si="4">+AC12-1</f>
        <v>-14</v>
      </c>
      <c r="AF12" s="46"/>
      <c r="AG12" s="46">
        <f t="shared" ref="AG12" si="5">+AE12-1</f>
        <v>-15</v>
      </c>
      <c r="AH12" s="46"/>
      <c r="AI12" s="153"/>
    </row>
    <row r="13" spans="1:38">
      <c r="E13" s="222"/>
      <c r="F13" s="222"/>
      <c r="G13" s="261"/>
      <c r="H13" s="222"/>
      <c r="I13" s="222"/>
    </row>
    <row r="14" spans="1:38" ht="15.75">
      <c r="C14" s="27" t="s">
        <v>238</v>
      </c>
      <c r="E14" s="222"/>
      <c r="F14" s="222"/>
      <c r="G14" s="261"/>
      <c r="H14" s="222"/>
      <c r="I14" s="738"/>
      <c r="W14" s="149" t="s">
        <v>251</v>
      </c>
    </row>
    <row r="15" spans="1:38">
      <c r="E15" s="222"/>
      <c r="F15" s="222"/>
      <c r="G15" s="261"/>
      <c r="H15" s="222"/>
      <c r="I15" s="738"/>
    </row>
    <row r="16" spans="1:38" ht="15.75">
      <c r="C16" s="27" t="s">
        <v>227</v>
      </c>
      <c r="E16" s="222"/>
      <c r="F16" s="222"/>
      <c r="G16" s="261"/>
      <c r="H16" s="222"/>
      <c r="I16" s="738"/>
    </row>
    <row r="17" spans="1:37" ht="3" customHeight="1">
      <c r="E17" s="222"/>
      <c r="F17" s="222"/>
      <c r="G17" s="261"/>
      <c r="H17" s="222"/>
      <c r="I17" s="738"/>
    </row>
    <row r="18" spans="1:37">
      <c r="E18" s="473" t="s">
        <v>46</v>
      </c>
      <c r="F18" s="222"/>
      <c r="G18" s="261"/>
      <c r="H18" s="222"/>
      <c r="I18" s="738"/>
    </row>
    <row r="19" spans="1:37">
      <c r="C19" s="109">
        <v>710</v>
      </c>
      <c r="E19" s="260" t="s">
        <v>57</v>
      </c>
      <c r="F19" s="222"/>
      <c r="G19" s="261">
        <v>1</v>
      </c>
      <c r="H19" s="222"/>
      <c r="I19" s="861">
        <f>+Linkin!H7</f>
        <v>0</v>
      </c>
      <c r="K19" s="156">
        <f>ROUND(VLOOKUP($G19,factors,+K$376)*$I19,0)</f>
        <v>0</v>
      </c>
      <c r="M19" s="156">
        <f>ROUND(VLOOKUP($G19,factors,+M$376)*$I19,0)</f>
        <v>0</v>
      </c>
      <c r="N19" s="156"/>
      <c r="O19" s="156">
        <f>ROUND(VLOOKUP($G19,factors,+O$376)*$I19,0)</f>
        <v>0</v>
      </c>
      <c r="P19" s="156"/>
      <c r="Q19" s="156">
        <f>ROUND(VLOOKUP($G19,factors,+Q$376)*$I19,0)</f>
        <v>0</v>
      </c>
      <c r="R19" s="156"/>
      <c r="S19" s="155">
        <f>ROUND(VLOOKUP($G19,factors,+S$376)*$I19,0)</f>
        <v>0</v>
      </c>
      <c r="T19" s="155"/>
      <c r="U19" s="155">
        <f>ROUND(VLOOKUP($G19,factors,+U$376)*$I19,0)</f>
        <v>0</v>
      </c>
      <c r="V19" s="155"/>
      <c r="W19" s="155">
        <f>ROUND(VLOOKUP($G19,factors,+W$376)*$I19,0)</f>
        <v>0</v>
      </c>
      <c r="X19" s="155"/>
      <c r="Y19" s="155">
        <f>ROUND(VLOOKUP($G19,factors,+Y$376)*$I19,0)</f>
        <v>0</v>
      </c>
      <c r="Z19" s="155"/>
      <c r="AA19" s="155">
        <f>ROUND(VLOOKUP($G19,factors,+AA$376)*$I19,0)</f>
        <v>0</v>
      </c>
      <c r="AB19" s="155"/>
      <c r="AC19" s="155">
        <f>ROUND(VLOOKUP($G19,factors,+AC$376)*$I19,0)</f>
        <v>0</v>
      </c>
      <c r="AD19" s="155"/>
      <c r="AE19" s="155">
        <f>ROUND(VLOOKUP($G19,factors,+AE$376)*$I19,0)</f>
        <v>0</v>
      </c>
      <c r="AF19" s="155"/>
      <c r="AG19" s="155">
        <f>ROUND(VLOOKUP($G19,factors,+AG$376)*$I19,0)</f>
        <v>0</v>
      </c>
      <c r="AI19" s="157">
        <f>SUM(K19:AG19)-I19</f>
        <v>0</v>
      </c>
    </row>
    <row r="20" spans="1:37">
      <c r="C20" s="109">
        <v>717</v>
      </c>
      <c r="E20" s="260" t="s">
        <v>468</v>
      </c>
      <c r="F20" s="222"/>
      <c r="G20" s="261">
        <v>1</v>
      </c>
      <c r="H20" s="222"/>
      <c r="I20" s="861">
        <f>+Linkin!H8</f>
        <v>0</v>
      </c>
      <c r="K20" s="156">
        <f>ROUND(VLOOKUP($G20,factors,+K$376)*$I20,0)</f>
        <v>0</v>
      </c>
      <c r="M20" s="156">
        <f>ROUND(VLOOKUP($G20,factors,+M$376)*$I20,0)</f>
        <v>0</v>
      </c>
      <c r="N20" s="156"/>
      <c r="O20" s="156">
        <f>ROUND(VLOOKUP($G20,factors,+O$376)*$I20,0)</f>
        <v>0</v>
      </c>
      <c r="P20" s="156"/>
      <c r="Q20" s="156">
        <f>ROUND(VLOOKUP($G20,factors,+Q$376)*$I20,0)</f>
        <v>0</v>
      </c>
      <c r="R20" s="156"/>
      <c r="S20" s="155">
        <f>ROUND(VLOOKUP($G20,factors,+S$376)*$I20,0)</f>
        <v>0</v>
      </c>
      <c r="T20" s="155"/>
      <c r="U20" s="155">
        <f>ROUND(VLOOKUP($G20,factors,+U$376)*$I20,0)</f>
        <v>0</v>
      </c>
      <c r="V20" s="155"/>
      <c r="W20" s="155">
        <f>ROUND(VLOOKUP($G20,factors,+W$376)*$I20,0)</f>
        <v>0</v>
      </c>
      <c r="X20" s="155"/>
      <c r="Y20" s="155">
        <f>ROUND(VLOOKUP($G20,factors,+Y$376)*$I20,0)</f>
        <v>0</v>
      </c>
      <c r="Z20" s="155"/>
      <c r="AA20" s="155">
        <f>ROUND(VLOOKUP($G20,factors,+AA$376)*$I20,0)</f>
        <v>0</v>
      </c>
      <c r="AB20" s="155"/>
      <c r="AC20" s="155">
        <f>ROUND(VLOOKUP($G20,factors,+AC$376)*$I20,0)</f>
        <v>0</v>
      </c>
      <c r="AD20" s="155"/>
      <c r="AE20" s="155">
        <f>ROUND(VLOOKUP($G20,factors,+AE$376)*$I20,0)</f>
        <v>0</v>
      </c>
      <c r="AF20" s="155"/>
      <c r="AG20" s="155">
        <f>ROUND(VLOOKUP($G20,factors,+AG$376)*$I20,0)</f>
        <v>0</v>
      </c>
      <c r="AI20" s="157">
        <f>SUM(K20:AG20)-I20</f>
        <v>0</v>
      </c>
    </row>
    <row r="21" spans="1:37">
      <c r="C21" s="109"/>
      <c r="E21" s="260"/>
      <c r="F21" s="222"/>
      <c r="G21" s="261"/>
      <c r="H21" s="222"/>
      <c r="I21" s="861"/>
      <c r="K21" s="156"/>
      <c r="M21" s="156"/>
      <c r="N21" s="156"/>
      <c r="O21" s="156"/>
      <c r="P21" s="156"/>
      <c r="Q21" s="156"/>
      <c r="R21" s="156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I21" s="157"/>
    </row>
    <row r="22" spans="1:37">
      <c r="B22" s="154"/>
      <c r="C22" s="149" t="s">
        <v>108</v>
      </c>
      <c r="E22" s="260" t="s">
        <v>469</v>
      </c>
      <c r="F22" s="222"/>
      <c r="G22" s="261">
        <v>1</v>
      </c>
      <c r="H22" s="222"/>
      <c r="I22" s="861">
        <f>+Linkin!H10</f>
        <v>97091</v>
      </c>
      <c r="K22" s="156">
        <f>ROUND(VLOOKUP($G22,factors,+K$376)*$I22,0)</f>
        <v>69469</v>
      </c>
      <c r="M22" s="156">
        <f>ROUND(VLOOKUP($G22,factors,+M$376)*$I22,0)</f>
        <v>27622</v>
      </c>
      <c r="N22" s="156"/>
      <c r="O22" s="156">
        <f>ROUND(VLOOKUP($G22,factors,+O$376)*$I22,0)</f>
        <v>0</v>
      </c>
      <c r="P22" s="156"/>
      <c r="Q22" s="156">
        <f>ROUND(VLOOKUP($G22,factors,+Q$376)*$I22,0)</f>
        <v>0</v>
      </c>
      <c r="R22" s="156"/>
      <c r="S22" s="155">
        <f>ROUND(VLOOKUP($G22,factors,+S$376)*$I22,0)</f>
        <v>0</v>
      </c>
      <c r="T22" s="155"/>
      <c r="U22" s="155">
        <f>ROUND(VLOOKUP($G22,factors,+U$376)*$I22,0)</f>
        <v>0</v>
      </c>
      <c r="V22" s="155"/>
      <c r="W22" s="155">
        <f>ROUND(VLOOKUP($G22,factors,+W$376)*$I22,0)</f>
        <v>0</v>
      </c>
      <c r="X22" s="155"/>
      <c r="Y22" s="155">
        <f>ROUND(VLOOKUP($G22,factors,+Y$376)*$I22,0)</f>
        <v>0</v>
      </c>
      <c r="Z22" s="155"/>
      <c r="AA22" s="155">
        <f>ROUND(VLOOKUP($G22,factors,+AA$376)*$I22,0)</f>
        <v>0</v>
      </c>
      <c r="AB22" s="155"/>
      <c r="AC22" s="155">
        <f>ROUND(VLOOKUP($G22,factors,+AC$376)*$I22,0)</f>
        <v>0</v>
      </c>
      <c r="AD22" s="155"/>
      <c r="AE22" s="155">
        <f>ROUND(VLOOKUP($G22,factors,+AE$376)*$I22,0)</f>
        <v>0</v>
      </c>
      <c r="AF22" s="155"/>
      <c r="AG22" s="155">
        <f>ROUND(VLOOKUP($G22,factors,+AG$376)*$I22,0)</f>
        <v>0</v>
      </c>
      <c r="AI22" s="157">
        <f t="shared" ref="AI22:AI27" si="6">SUM(K22:AG22)-I22</f>
        <v>0</v>
      </c>
    </row>
    <row r="23" spans="1:37" s="47" customFormat="1">
      <c r="A23" s="149"/>
      <c r="B23" s="158"/>
      <c r="C23" s="159" t="s">
        <v>107</v>
      </c>
      <c r="D23" s="149"/>
      <c r="E23" s="260" t="s">
        <v>44</v>
      </c>
      <c r="F23" s="222"/>
      <c r="G23" s="261">
        <v>1</v>
      </c>
      <c r="H23" s="222"/>
      <c r="I23" s="861">
        <f>+Linkin!H11</f>
        <v>4826667</v>
      </c>
      <c r="J23" s="149"/>
      <c r="K23" s="161">
        <f>ROUND(VLOOKUP($G23,factors,+K$376)*$I23,0)</f>
        <v>3453480</v>
      </c>
      <c r="L23" s="149"/>
      <c r="M23" s="161">
        <f>ROUND(VLOOKUP($G23,factors,+M$376)*$I23,0)</f>
        <v>1373187</v>
      </c>
      <c r="N23" s="156"/>
      <c r="O23" s="161">
        <f>ROUND(VLOOKUP($G23,factors,+O$376)*$I23,0)</f>
        <v>0</v>
      </c>
      <c r="P23" s="162"/>
      <c r="Q23" s="161">
        <f>ROUND(VLOOKUP($G23,factors,+Q$376)*$I23,0)</f>
        <v>0</v>
      </c>
      <c r="R23" s="156"/>
      <c r="S23" s="160">
        <f>ROUND(VLOOKUP($G23,factors,+S$376)*$I23,0)</f>
        <v>0</v>
      </c>
      <c r="T23" s="163"/>
      <c r="U23" s="160">
        <f>ROUND(VLOOKUP($G23,factors,+U$376)*$I23,0)</f>
        <v>0</v>
      </c>
      <c r="V23" s="155"/>
      <c r="W23" s="160">
        <f>ROUND(VLOOKUP($G23,factors,+W$376)*$I23,0)</f>
        <v>0</v>
      </c>
      <c r="X23" s="155"/>
      <c r="Y23" s="160">
        <f>ROUND(VLOOKUP($G23,factors,+Y$376)*$I23,0)</f>
        <v>0</v>
      </c>
      <c r="Z23" s="155"/>
      <c r="AA23" s="160">
        <f>ROUND(VLOOKUP($G23,factors,+AA$376)*$I23,0)</f>
        <v>0</v>
      </c>
      <c r="AB23" s="163"/>
      <c r="AC23" s="160">
        <f>ROUND(VLOOKUP($G23,factors,+AC$376)*$I23,0)</f>
        <v>0</v>
      </c>
      <c r="AD23" s="155"/>
      <c r="AE23" s="160">
        <f>ROUND(VLOOKUP($G23,factors,+AE$376)*$I23,0)</f>
        <v>0</v>
      </c>
      <c r="AF23" s="155"/>
      <c r="AG23" s="160">
        <f>ROUND(VLOOKUP($G23,factors,+AG$376)*$I23,0)</f>
        <v>0</v>
      </c>
      <c r="AH23" s="149"/>
      <c r="AI23" s="157">
        <f t="shared" si="6"/>
        <v>0</v>
      </c>
      <c r="AJ23" s="149"/>
      <c r="AK23" s="149"/>
    </row>
    <row r="24" spans="1:37">
      <c r="B24" s="155"/>
      <c r="C24" s="159" t="s">
        <v>217</v>
      </c>
      <c r="E24" s="222" t="s">
        <v>219</v>
      </c>
      <c r="F24" s="222"/>
      <c r="G24" s="261"/>
      <c r="H24" s="222"/>
      <c r="I24" s="894">
        <f>SUM(I19:I23)</f>
        <v>4923758</v>
      </c>
      <c r="K24" s="270">
        <f t="shared" ref="K24" si="7">SUM(K19:K23)</f>
        <v>3522949</v>
      </c>
      <c r="M24" s="270">
        <f t="shared" ref="M24" si="8">SUM(M19:M23)</f>
        <v>1400809</v>
      </c>
      <c r="O24" s="270">
        <f t="shared" ref="O24" si="9">SUM(O19:O23)</f>
        <v>0</v>
      </c>
      <c r="Q24" s="270">
        <f t="shared" ref="Q24" si="10">SUM(Q19:Q23)</f>
        <v>0</v>
      </c>
      <c r="S24" s="270">
        <f t="shared" ref="S24:U24" si="11">SUM(S19:S23)</f>
        <v>0</v>
      </c>
      <c r="T24" s="163"/>
      <c r="U24" s="270">
        <f t="shared" si="11"/>
        <v>0</v>
      </c>
      <c r="W24" s="270">
        <f t="shared" ref="W24" si="12">SUM(W19:W23)</f>
        <v>0</v>
      </c>
      <c r="Y24" s="270">
        <f t="shared" ref="Y24" si="13">SUM(Y19:Y23)</f>
        <v>0</v>
      </c>
      <c r="AA24" s="270">
        <f t="shared" ref="AA24" si="14">SUM(AA19:AA23)</f>
        <v>0</v>
      </c>
      <c r="AC24" s="270">
        <f t="shared" ref="AC24:AG24" si="15">SUM(AC19:AC23)</f>
        <v>0</v>
      </c>
      <c r="AE24" s="270">
        <f t="shared" si="15"/>
        <v>0</v>
      </c>
      <c r="AG24" s="270">
        <f t="shared" si="15"/>
        <v>0</v>
      </c>
      <c r="AI24" s="157">
        <f t="shared" si="6"/>
        <v>0</v>
      </c>
    </row>
    <row r="25" spans="1:37">
      <c r="B25" s="155"/>
      <c r="C25" s="159"/>
      <c r="E25" s="222"/>
      <c r="F25" s="222"/>
      <c r="G25" s="261"/>
      <c r="H25" s="222"/>
      <c r="I25" s="490"/>
      <c r="K25" s="156"/>
      <c r="M25" s="156"/>
      <c r="O25" s="156"/>
      <c r="P25" s="156"/>
      <c r="Q25" s="156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I25" s="157">
        <f t="shared" si="6"/>
        <v>0</v>
      </c>
    </row>
    <row r="26" spans="1:37">
      <c r="B26" s="155"/>
      <c r="C26" s="159"/>
      <c r="E26" s="475" t="s">
        <v>374</v>
      </c>
      <c r="F26" s="222"/>
      <c r="G26" s="261"/>
      <c r="H26" s="222"/>
      <c r="I26" s="490"/>
      <c r="K26" s="156"/>
      <c r="M26" s="156"/>
      <c r="O26" s="156"/>
      <c r="P26" s="156"/>
      <c r="Q26" s="156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I26" s="157">
        <f t="shared" si="6"/>
        <v>0</v>
      </c>
    </row>
    <row r="27" spans="1:37">
      <c r="B27" s="155"/>
      <c r="C27" s="392" t="s">
        <v>365</v>
      </c>
      <c r="E27" s="260" t="s">
        <v>480</v>
      </c>
      <c r="F27" s="222"/>
      <c r="G27" s="261">
        <v>1</v>
      </c>
      <c r="H27" s="222"/>
      <c r="I27" s="484">
        <f>+Linkin!H15</f>
        <v>0</v>
      </c>
      <c r="K27" s="156">
        <f>ROUND(VLOOKUP($G27,factors,+K$376)*$I27,0)</f>
        <v>0</v>
      </c>
      <c r="M27" s="156">
        <f>ROUND(VLOOKUP($G27,factors,+M$376)*$I27,0)</f>
        <v>0</v>
      </c>
      <c r="N27" s="156"/>
      <c r="O27" s="156">
        <f>ROUND(VLOOKUP($G27,factors,+O$376)*$I27,0)</f>
        <v>0</v>
      </c>
      <c r="P27" s="156"/>
      <c r="Q27" s="156">
        <f>ROUND(VLOOKUP($G27,factors,+Q$376)*$I27,0)</f>
        <v>0</v>
      </c>
      <c r="R27" s="156"/>
      <c r="S27" s="155">
        <f>ROUND(VLOOKUP($G27,factors,+S$376)*$I27,0)</f>
        <v>0</v>
      </c>
      <c r="T27" s="155"/>
      <c r="U27" s="155">
        <f>ROUND(VLOOKUP($G27,factors,+U$376)*$I27,0)</f>
        <v>0</v>
      </c>
      <c r="V27" s="155"/>
      <c r="W27" s="155">
        <f>ROUND(VLOOKUP($G27,factors,+W$376)*$I27,0)</f>
        <v>0</v>
      </c>
      <c r="X27" s="155"/>
      <c r="Y27" s="155">
        <f>ROUND(VLOOKUP($G27,factors,+Y$376)*$I27,0)</f>
        <v>0</v>
      </c>
      <c r="Z27" s="155"/>
      <c r="AA27" s="155">
        <f>ROUND(VLOOKUP($G27,factors,+AA$376)*$I27,0)</f>
        <v>0</v>
      </c>
      <c r="AB27" s="155"/>
      <c r="AC27" s="155">
        <f>ROUND(VLOOKUP($G27,factors,+AC$376)*$I27,0)</f>
        <v>0</v>
      </c>
      <c r="AD27" s="155"/>
      <c r="AE27" s="155">
        <f>ROUND(VLOOKUP($G27,factors,+AE$376)*$I27,0)</f>
        <v>0</v>
      </c>
      <c r="AF27" s="155"/>
      <c r="AG27" s="155">
        <f>ROUND(VLOOKUP($G27,factors,+AG$376)*$I27,0)</f>
        <v>0</v>
      </c>
      <c r="AI27" s="157">
        <f t="shared" si="6"/>
        <v>0</v>
      </c>
    </row>
    <row r="28" spans="1:37">
      <c r="B28" s="155"/>
      <c r="C28" s="392" t="s">
        <v>366</v>
      </c>
      <c r="E28" s="260" t="s">
        <v>481</v>
      </c>
      <c r="F28" s="222"/>
      <c r="G28" s="261">
        <v>1</v>
      </c>
      <c r="H28" s="222"/>
      <c r="I28" s="484">
        <f>+Linkin!H16</f>
        <v>0</v>
      </c>
      <c r="K28" s="156"/>
      <c r="M28" s="156"/>
      <c r="N28" s="156"/>
      <c r="O28" s="156"/>
      <c r="P28" s="156"/>
      <c r="Q28" s="156"/>
      <c r="R28" s="156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I28" s="157"/>
    </row>
    <row r="29" spans="1:37">
      <c r="B29" s="155"/>
      <c r="C29" s="392" t="s">
        <v>472</v>
      </c>
      <c r="E29" s="260" t="s">
        <v>470</v>
      </c>
      <c r="F29" s="222"/>
      <c r="G29" s="261">
        <v>1</v>
      </c>
      <c r="H29" s="222"/>
      <c r="I29" s="484">
        <f>+Linkin!H17</f>
        <v>0</v>
      </c>
      <c r="K29" s="156"/>
      <c r="M29" s="156"/>
      <c r="N29" s="156"/>
      <c r="O29" s="156"/>
      <c r="P29" s="156"/>
      <c r="Q29" s="156"/>
      <c r="R29" s="156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I29" s="157"/>
    </row>
    <row r="30" spans="1:37">
      <c r="B30" s="155"/>
      <c r="C30" s="392" t="s">
        <v>473</v>
      </c>
      <c r="E30" s="260" t="s">
        <v>482</v>
      </c>
      <c r="F30" s="222"/>
      <c r="G30" s="261">
        <v>1</v>
      </c>
      <c r="H30" s="222"/>
      <c r="I30" s="485">
        <f>+Linkin!H18</f>
        <v>0</v>
      </c>
      <c r="K30" s="161">
        <f>ROUND(VLOOKUP($G30,factors,+K$376)*$I30,0)</f>
        <v>0</v>
      </c>
      <c r="M30" s="161">
        <f>ROUND(VLOOKUP($G30,factors,+M$376)*$I30,0)</f>
        <v>0</v>
      </c>
      <c r="O30" s="161">
        <f>ROUND(VLOOKUP($G30,factors,+O$376)*$I30,0)</f>
        <v>0</v>
      </c>
      <c r="Q30" s="161">
        <f>ROUND(VLOOKUP($G30,factors,+Q$376)*$I30,0)</f>
        <v>0</v>
      </c>
      <c r="S30" s="161">
        <f>ROUND(VLOOKUP($G30,factors,+S$376)*$I30,0)</f>
        <v>0</v>
      </c>
      <c r="T30" s="162"/>
      <c r="U30" s="161">
        <f>ROUND(VLOOKUP($G30,factors,+U$376)*$I30,0)</f>
        <v>0</v>
      </c>
      <c r="W30" s="161">
        <f>ROUND(VLOOKUP($G30,factors,+W$376)*$I30,0)</f>
        <v>0</v>
      </c>
      <c r="Y30" s="161">
        <f>ROUND(VLOOKUP($G30,factors,+Y$376)*$I30,0)</f>
        <v>0</v>
      </c>
      <c r="AA30" s="161">
        <f>ROUND(VLOOKUP($G30,factors,+AA$376)*$I30,0)</f>
        <v>0</v>
      </c>
      <c r="AC30" s="161">
        <f>ROUND(VLOOKUP($G30,factors,+AC$376)*$I30,0)</f>
        <v>0</v>
      </c>
      <c r="AE30" s="161">
        <f>ROUND(VLOOKUP($G30,factors,+AE$376)*$I30,0)</f>
        <v>0</v>
      </c>
      <c r="AG30" s="161">
        <f>ROUND(VLOOKUP($G30,factors,+AG$376)*$I30,0)</f>
        <v>0</v>
      </c>
      <c r="AI30" s="157">
        <f t="shared" ref="AI30:AI47" si="16">SUM(K30:AG30)-I30</f>
        <v>0</v>
      </c>
    </row>
    <row r="31" spans="1:37">
      <c r="B31" s="155"/>
      <c r="C31" s="159"/>
      <c r="E31" s="222" t="s">
        <v>375</v>
      </c>
      <c r="F31" s="222"/>
      <c r="G31" s="261"/>
      <c r="H31" s="222"/>
      <c r="I31" s="484">
        <f>SUM(I27:I30)</f>
        <v>0</v>
      </c>
      <c r="K31" s="163">
        <f>SUM(K27:K30)</f>
        <v>0</v>
      </c>
      <c r="M31" s="163">
        <f>SUM(M27:M30)</f>
        <v>0</v>
      </c>
      <c r="O31" s="163">
        <f>SUM(O27:O30)</f>
        <v>0</v>
      </c>
      <c r="Q31" s="163">
        <f>SUM(Q27:Q30)</f>
        <v>0</v>
      </c>
      <c r="S31" s="163">
        <f>SUM(S27:S30)</f>
        <v>0</v>
      </c>
      <c r="T31" s="163"/>
      <c r="U31" s="163">
        <f>SUM(U27:U30)</f>
        <v>0</v>
      </c>
      <c r="W31" s="163">
        <f>SUM(W27:W30)</f>
        <v>0</v>
      </c>
      <c r="Y31" s="163">
        <f>SUM(Y27:Y30)</f>
        <v>0</v>
      </c>
      <c r="AA31" s="163">
        <f>SUM(AA27:AA30)</f>
        <v>0</v>
      </c>
      <c r="AC31" s="163">
        <f>SUM(AC27:AC30)</f>
        <v>0</v>
      </c>
      <c r="AE31" s="163">
        <f t="shared" ref="AE31" si="17">SUM(AE27:AE30)</f>
        <v>0</v>
      </c>
      <c r="AG31" s="163">
        <f t="shared" ref="AG31" si="18">SUM(AG27:AG30)</f>
        <v>0</v>
      </c>
      <c r="AI31" s="157">
        <f t="shared" si="16"/>
        <v>0</v>
      </c>
    </row>
    <row r="32" spans="1:37">
      <c r="B32" s="155"/>
      <c r="C32" s="159"/>
      <c r="E32" s="222"/>
      <c r="F32" s="222"/>
      <c r="G32" s="261"/>
      <c r="H32" s="222"/>
      <c r="I32" s="490"/>
      <c r="K32" s="156"/>
      <c r="M32" s="156"/>
      <c r="O32" s="156"/>
      <c r="P32" s="156"/>
      <c r="Q32" s="156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I32" s="157">
        <f t="shared" si="16"/>
        <v>0</v>
      </c>
    </row>
    <row r="33" spans="1:37">
      <c r="A33" s="430" t="s">
        <v>543</v>
      </c>
      <c r="B33" s="318"/>
      <c r="C33" s="159" t="s">
        <v>217</v>
      </c>
      <c r="E33" s="475" t="s">
        <v>228</v>
      </c>
      <c r="F33" s="222"/>
      <c r="G33" s="261"/>
      <c r="H33" s="222"/>
      <c r="I33" s="490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I33" s="157">
        <f t="shared" si="16"/>
        <v>0</v>
      </c>
    </row>
    <row r="34" spans="1:37" s="47" customFormat="1" ht="15.75" thickBot="1">
      <c r="A34" s="430" t="s">
        <v>544</v>
      </c>
      <c r="B34" s="431">
        <v>0</v>
      </c>
      <c r="C34" s="421" t="s">
        <v>479</v>
      </c>
      <c r="D34" s="149"/>
      <c r="E34" s="260" t="s">
        <v>475</v>
      </c>
      <c r="F34" s="222"/>
      <c r="G34" s="261">
        <v>1</v>
      </c>
      <c r="H34" s="222"/>
      <c r="I34" s="484">
        <f>+Linkin!H22</f>
        <v>0</v>
      </c>
      <c r="J34" s="149"/>
      <c r="K34" s="156">
        <f t="shared" ref="K34:K41" si="19">ROUND(VLOOKUP($G34,factors,+K$376)*$I34,0)</f>
        <v>0</v>
      </c>
      <c r="L34" s="149"/>
      <c r="M34" s="156">
        <f t="shared" ref="M34:M41" si="20">ROUND(VLOOKUP($G34,factors,+M$376)*$I34,0)</f>
        <v>0</v>
      </c>
      <c r="N34" s="156"/>
      <c r="O34" s="156">
        <f t="shared" ref="O34:O41" si="21">ROUND(VLOOKUP($G34,factors,+O$376)*$I34,0)</f>
        <v>0</v>
      </c>
      <c r="P34" s="156"/>
      <c r="Q34" s="156">
        <f t="shared" ref="Q34:Q41" si="22">ROUND(VLOOKUP($G34,factors,+Q$376)*$I34,0)</f>
        <v>0</v>
      </c>
      <c r="R34" s="156"/>
      <c r="S34" s="155">
        <f t="shared" ref="S34:S41" si="23">ROUND(VLOOKUP($G34,factors,+S$376)*$I34,0)</f>
        <v>0</v>
      </c>
      <c r="T34" s="155"/>
      <c r="U34" s="155">
        <f t="shared" ref="U34:U41" si="24">ROUND(VLOOKUP($G34,factors,+U$376)*$I34,0)</f>
        <v>0</v>
      </c>
      <c r="V34" s="155"/>
      <c r="W34" s="155">
        <f t="shared" ref="W34:W41" si="25">ROUND(VLOOKUP($G34,factors,+W$376)*$I34,0)</f>
        <v>0</v>
      </c>
      <c r="X34" s="155"/>
      <c r="Y34" s="155">
        <f t="shared" ref="Y34:Y41" si="26">ROUND(VLOOKUP($G34,factors,+Y$376)*$I34,0)</f>
        <v>0</v>
      </c>
      <c r="Z34" s="155"/>
      <c r="AA34" s="155">
        <f t="shared" ref="AA34:AA41" si="27">ROUND(VLOOKUP($G34,factors,+AA$376)*$I34,0)</f>
        <v>0</v>
      </c>
      <c r="AB34" s="155"/>
      <c r="AC34" s="155">
        <f t="shared" ref="AC34:AC41" si="28">ROUND(VLOOKUP($G34,factors,+AC$376)*$I34,0)</f>
        <v>0</v>
      </c>
      <c r="AD34" s="155"/>
      <c r="AE34" s="155">
        <f t="shared" ref="AE34:AE41" si="29">ROUND(VLOOKUP($G34,factors,+AE$376)*$I34,0)</f>
        <v>0</v>
      </c>
      <c r="AF34" s="155"/>
      <c r="AG34" s="155">
        <f t="shared" ref="AG34:AG41" si="30">ROUND(VLOOKUP($G34,factors,+AG$376)*$I34,0)</f>
        <v>0</v>
      </c>
      <c r="AH34" s="149"/>
      <c r="AI34" s="157">
        <f t="shared" si="16"/>
        <v>0</v>
      </c>
      <c r="AJ34" s="149"/>
      <c r="AK34" s="149"/>
    </row>
    <row r="35" spans="1:37" s="47" customFormat="1" ht="15.75" thickTop="1">
      <c r="A35" s="149"/>
      <c r="B35" s="155"/>
      <c r="C35" s="422">
        <v>804</v>
      </c>
      <c r="D35" s="149"/>
      <c r="E35" s="260" t="s">
        <v>50</v>
      </c>
      <c r="F35" s="222"/>
      <c r="G35" s="261">
        <v>1</v>
      </c>
      <c r="H35" s="222"/>
      <c r="I35" s="484">
        <f>+Linkin!H23*B34</f>
        <v>0</v>
      </c>
      <c r="J35" s="149"/>
      <c r="K35" s="156">
        <f t="shared" si="19"/>
        <v>0</v>
      </c>
      <c r="L35" s="149"/>
      <c r="M35" s="156">
        <f t="shared" si="20"/>
        <v>0</v>
      </c>
      <c r="N35" s="156"/>
      <c r="O35" s="156">
        <f t="shared" si="21"/>
        <v>0</v>
      </c>
      <c r="P35" s="156"/>
      <c r="Q35" s="156">
        <f t="shared" si="22"/>
        <v>0</v>
      </c>
      <c r="R35" s="156"/>
      <c r="S35" s="155">
        <f t="shared" si="23"/>
        <v>0</v>
      </c>
      <c r="T35" s="155"/>
      <c r="U35" s="155">
        <f t="shared" si="24"/>
        <v>0</v>
      </c>
      <c r="V35" s="155"/>
      <c r="W35" s="155">
        <f t="shared" si="25"/>
        <v>0</v>
      </c>
      <c r="X35" s="155"/>
      <c r="Y35" s="155">
        <f t="shared" si="26"/>
        <v>0</v>
      </c>
      <c r="Z35" s="155"/>
      <c r="AA35" s="155">
        <f t="shared" si="27"/>
        <v>0</v>
      </c>
      <c r="AB35" s="155"/>
      <c r="AC35" s="155">
        <f t="shared" si="28"/>
        <v>0</v>
      </c>
      <c r="AD35" s="155"/>
      <c r="AE35" s="155">
        <f t="shared" si="29"/>
        <v>0</v>
      </c>
      <c r="AF35" s="155"/>
      <c r="AG35" s="155">
        <f t="shared" si="30"/>
        <v>0</v>
      </c>
      <c r="AH35" s="149"/>
      <c r="AI35" s="157">
        <f t="shared" si="16"/>
        <v>0</v>
      </c>
      <c r="AJ35" s="149"/>
      <c r="AK35" s="149"/>
    </row>
    <row r="36" spans="1:37" s="47" customFormat="1">
      <c r="A36" s="149"/>
      <c r="B36" s="155"/>
      <c r="C36" s="422">
        <v>805.1</v>
      </c>
      <c r="D36" s="149"/>
      <c r="E36" s="260" t="s">
        <v>52</v>
      </c>
      <c r="F36" s="222"/>
      <c r="G36" s="261">
        <v>1</v>
      </c>
      <c r="H36" s="222"/>
      <c r="I36" s="484">
        <f>+Linkin!H26*B34</f>
        <v>0</v>
      </c>
      <c r="J36" s="149"/>
      <c r="K36" s="156">
        <f t="shared" si="19"/>
        <v>0</v>
      </c>
      <c r="L36" s="149"/>
      <c r="M36" s="156">
        <f t="shared" si="20"/>
        <v>0</v>
      </c>
      <c r="N36" s="156"/>
      <c r="O36" s="156">
        <f t="shared" si="21"/>
        <v>0</v>
      </c>
      <c r="P36" s="156"/>
      <c r="Q36" s="156">
        <f t="shared" si="22"/>
        <v>0</v>
      </c>
      <c r="R36" s="156"/>
      <c r="S36" s="155">
        <f t="shared" si="23"/>
        <v>0</v>
      </c>
      <c r="T36" s="155"/>
      <c r="U36" s="155">
        <f t="shared" si="24"/>
        <v>0</v>
      </c>
      <c r="V36" s="155"/>
      <c r="W36" s="155">
        <f t="shared" si="25"/>
        <v>0</v>
      </c>
      <c r="X36" s="155"/>
      <c r="Y36" s="155">
        <f t="shared" si="26"/>
        <v>0</v>
      </c>
      <c r="Z36" s="155"/>
      <c r="AA36" s="155">
        <f t="shared" si="27"/>
        <v>0</v>
      </c>
      <c r="AB36" s="155"/>
      <c r="AC36" s="155">
        <f t="shared" si="28"/>
        <v>0</v>
      </c>
      <c r="AD36" s="155"/>
      <c r="AE36" s="155">
        <f t="shared" si="29"/>
        <v>0</v>
      </c>
      <c r="AF36" s="155"/>
      <c r="AG36" s="155">
        <f t="shared" si="30"/>
        <v>0</v>
      </c>
      <c r="AH36" s="149"/>
      <c r="AI36" s="157">
        <f t="shared" si="16"/>
        <v>0</v>
      </c>
      <c r="AJ36" s="149"/>
      <c r="AK36" s="149"/>
    </row>
    <row r="37" spans="1:37" s="47" customFormat="1">
      <c r="A37" s="287"/>
      <c r="B37" s="155"/>
      <c r="C37" s="392">
        <v>805</v>
      </c>
      <c r="D37" s="859"/>
      <c r="E37" s="950" t="s">
        <v>51</v>
      </c>
      <c r="F37" s="260"/>
      <c r="G37" s="392">
        <v>1</v>
      </c>
      <c r="H37" s="260"/>
      <c r="I37" s="484">
        <f>Linkin!H25*B34</f>
        <v>0</v>
      </c>
      <c r="J37" s="149"/>
      <c r="K37" s="156">
        <f t="shared" si="19"/>
        <v>0</v>
      </c>
      <c r="L37" s="149"/>
      <c r="M37" s="156">
        <f t="shared" si="20"/>
        <v>0</v>
      </c>
      <c r="N37" s="156"/>
      <c r="O37" s="156">
        <f t="shared" si="21"/>
        <v>0</v>
      </c>
      <c r="P37" s="156"/>
      <c r="Q37" s="156">
        <f t="shared" si="22"/>
        <v>0</v>
      </c>
      <c r="R37" s="156"/>
      <c r="S37" s="155">
        <f t="shared" si="23"/>
        <v>0</v>
      </c>
      <c r="T37" s="155"/>
      <c r="U37" s="155">
        <f t="shared" si="24"/>
        <v>0</v>
      </c>
      <c r="V37" s="155"/>
      <c r="W37" s="155">
        <f t="shared" si="25"/>
        <v>0</v>
      </c>
      <c r="X37" s="155"/>
      <c r="Y37" s="155">
        <f t="shared" si="26"/>
        <v>0</v>
      </c>
      <c r="Z37" s="155"/>
      <c r="AA37" s="155">
        <f t="shared" si="27"/>
        <v>0</v>
      </c>
      <c r="AB37" s="155"/>
      <c r="AC37" s="155">
        <f t="shared" si="28"/>
        <v>0</v>
      </c>
      <c r="AD37" s="155"/>
      <c r="AE37" s="155">
        <f t="shared" si="29"/>
        <v>0</v>
      </c>
      <c r="AF37" s="155"/>
      <c r="AG37" s="155">
        <f t="shared" si="30"/>
        <v>0</v>
      </c>
      <c r="AH37" s="149"/>
      <c r="AI37" s="157"/>
      <c r="AJ37" s="149"/>
      <c r="AK37" s="149"/>
    </row>
    <row r="38" spans="1:37" s="47" customFormat="1">
      <c r="A38" s="149"/>
      <c r="B38" s="155"/>
      <c r="C38" s="422">
        <v>808.1</v>
      </c>
      <c r="D38" s="149"/>
      <c r="E38" s="260" t="s">
        <v>53</v>
      </c>
      <c r="F38" s="222"/>
      <c r="G38" s="261">
        <v>1</v>
      </c>
      <c r="H38" s="222"/>
      <c r="I38" s="484">
        <f>+Linkin!H29*B34</f>
        <v>0</v>
      </c>
      <c r="J38" s="149"/>
      <c r="K38" s="156">
        <f t="shared" si="19"/>
        <v>0</v>
      </c>
      <c r="L38" s="149"/>
      <c r="M38" s="156">
        <f t="shared" si="20"/>
        <v>0</v>
      </c>
      <c r="N38" s="156"/>
      <c r="O38" s="156">
        <f t="shared" si="21"/>
        <v>0</v>
      </c>
      <c r="P38" s="156"/>
      <c r="Q38" s="156">
        <f t="shared" si="22"/>
        <v>0</v>
      </c>
      <c r="R38" s="156"/>
      <c r="S38" s="155">
        <f t="shared" si="23"/>
        <v>0</v>
      </c>
      <c r="T38" s="155"/>
      <c r="U38" s="155">
        <f t="shared" si="24"/>
        <v>0</v>
      </c>
      <c r="V38" s="155"/>
      <c r="W38" s="155">
        <f t="shared" si="25"/>
        <v>0</v>
      </c>
      <c r="X38" s="155"/>
      <c r="Y38" s="155">
        <f t="shared" si="26"/>
        <v>0</v>
      </c>
      <c r="Z38" s="155"/>
      <c r="AA38" s="155">
        <f t="shared" si="27"/>
        <v>0</v>
      </c>
      <c r="AB38" s="155"/>
      <c r="AC38" s="155">
        <f t="shared" si="28"/>
        <v>0</v>
      </c>
      <c r="AD38" s="155"/>
      <c r="AE38" s="155">
        <f t="shared" si="29"/>
        <v>0</v>
      </c>
      <c r="AF38" s="155"/>
      <c r="AG38" s="155">
        <f t="shared" si="30"/>
        <v>0</v>
      </c>
      <c r="AH38" s="149"/>
      <c r="AI38" s="157">
        <f t="shared" si="16"/>
        <v>0</v>
      </c>
      <c r="AJ38" s="149"/>
      <c r="AK38" s="149"/>
    </row>
    <row r="39" spans="1:37" s="47" customFormat="1">
      <c r="A39" s="149"/>
      <c r="B39" s="155"/>
      <c r="C39" s="422">
        <v>808.2</v>
      </c>
      <c r="D39" s="149"/>
      <c r="E39" s="260" t="s">
        <v>305</v>
      </c>
      <c r="F39" s="222"/>
      <c r="G39" s="261">
        <v>1</v>
      </c>
      <c r="H39" s="222"/>
      <c r="I39" s="484">
        <f>+Linkin!H30*B34</f>
        <v>0</v>
      </c>
      <c r="J39" s="149"/>
      <c r="K39" s="156">
        <f t="shared" si="19"/>
        <v>0</v>
      </c>
      <c r="L39" s="149"/>
      <c r="M39" s="156">
        <f t="shared" si="20"/>
        <v>0</v>
      </c>
      <c r="N39" s="156"/>
      <c r="O39" s="156">
        <f t="shared" si="21"/>
        <v>0</v>
      </c>
      <c r="P39" s="156"/>
      <c r="Q39" s="156">
        <f t="shared" si="22"/>
        <v>0</v>
      </c>
      <c r="R39" s="156"/>
      <c r="S39" s="155">
        <f t="shared" si="23"/>
        <v>0</v>
      </c>
      <c r="T39" s="155"/>
      <c r="U39" s="155">
        <f t="shared" si="24"/>
        <v>0</v>
      </c>
      <c r="V39" s="155"/>
      <c r="W39" s="155">
        <f t="shared" si="25"/>
        <v>0</v>
      </c>
      <c r="X39" s="155"/>
      <c r="Y39" s="155">
        <f t="shared" si="26"/>
        <v>0</v>
      </c>
      <c r="Z39" s="155"/>
      <c r="AA39" s="155">
        <f t="shared" si="27"/>
        <v>0</v>
      </c>
      <c r="AB39" s="155"/>
      <c r="AC39" s="155">
        <f t="shared" si="28"/>
        <v>0</v>
      </c>
      <c r="AD39" s="155"/>
      <c r="AE39" s="155">
        <f t="shared" si="29"/>
        <v>0</v>
      </c>
      <c r="AF39" s="155"/>
      <c r="AG39" s="155">
        <f t="shared" si="30"/>
        <v>0</v>
      </c>
      <c r="AH39" s="149"/>
      <c r="AI39" s="157">
        <f t="shared" si="16"/>
        <v>0</v>
      </c>
      <c r="AJ39" s="149"/>
      <c r="AK39" s="149"/>
    </row>
    <row r="40" spans="1:37" s="47" customFormat="1">
      <c r="A40" s="149"/>
      <c r="B40" s="155"/>
      <c r="C40" s="422">
        <v>812</v>
      </c>
      <c r="D40" s="149"/>
      <c r="E40" s="260" t="s">
        <v>474</v>
      </c>
      <c r="F40" s="222"/>
      <c r="G40" s="261">
        <v>1</v>
      </c>
      <c r="H40" s="222"/>
      <c r="I40" s="484">
        <f>+Linkin!H31*B34</f>
        <v>0</v>
      </c>
      <c r="J40" s="149"/>
      <c r="K40" s="156">
        <f t="shared" si="19"/>
        <v>0</v>
      </c>
      <c r="L40" s="149"/>
      <c r="M40" s="156">
        <f t="shared" si="20"/>
        <v>0</v>
      </c>
      <c r="N40" s="156"/>
      <c r="O40" s="156">
        <f t="shared" si="21"/>
        <v>0</v>
      </c>
      <c r="P40" s="156"/>
      <c r="Q40" s="156">
        <f t="shared" si="22"/>
        <v>0</v>
      </c>
      <c r="R40" s="156"/>
      <c r="S40" s="155">
        <f t="shared" si="23"/>
        <v>0</v>
      </c>
      <c r="T40" s="155"/>
      <c r="U40" s="155">
        <f t="shared" si="24"/>
        <v>0</v>
      </c>
      <c r="V40" s="155"/>
      <c r="W40" s="155">
        <f t="shared" si="25"/>
        <v>0</v>
      </c>
      <c r="X40" s="155"/>
      <c r="Y40" s="155">
        <f t="shared" si="26"/>
        <v>0</v>
      </c>
      <c r="Z40" s="155"/>
      <c r="AA40" s="155">
        <f t="shared" si="27"/>
        <v>0</v>
      </c>
      <c r="AB40" s="155"/>
      <c r="AC40" s="155">
        <f t="shared" si="28"/>
        <v>0</v>
      </c>
      <c r="AD40" s="155"/>
      <c r="AE40" s="155">
        <f t="shared" si="29"/>
        <v>0</v>
      </c>
      <c r="AF40" s="155"/>
      <c r="AG40" s="155">
        <f t="shared" si="30"/>
        <v>0</v>
      </c>
      <c r="AH40" s="149"/>
      <c r="AI40" s="157">
        <f t="shared" si="16"/>
        <v>0</v>
      </c>
      <c r="AJ40" s="149"/>
      <c r="AK40" s="149"/>
    </row>
    <row r="41" spans="1:37" s="47" customFormat="1">
      <c r="A41" s="149"/>
      <c r="B41" s="154"/>
      <c r="C41" s="421">
        <v>813</v>
      </c>
      <c r="D41" s="149"/>
      <c r="E41" s="260" t="s">
        <v>228</v>
      </c>
      <c r="F41" s="222"/>
      <c r="G41" s="261">
        <v>1</v>
      </c>
      <c r="H41" s="222"/>
      <c r="I41" s="484">
        <f>Linkin!H32*B34</f>
        <v>0</v>
      </c>
      <c r="J41" s="149"/>
      <c r="K41" s="161">
        <f t="shared" si="19"/>
        <v>0</v>
      </c>
      <c r="L41" s="149"/>
      <c r="M41" s="161">
        <f t="shared" si="20"/>
        <v>0</v>
      </c>
      <c r="N41" s="156"/>
      <c r="O41" s="161">
        <f t="shared" si="21"/>
        <v>0</v>
      </c>
      <c r="P41" s="162"/>
      <c r="Q41" s="161">
        <f t="shared" si="22"/>
        <v>0</v>
      </c>
      <c r="R41" s="156"/>
      <c r="S41" s="160">
        <f t="shared" si="23"/>
        <v>0</v>
      </c>
      <c r="T41" s="163"/>
      <c r="U41" s="160">
        <f t="shared" si="24"/>
        <v>0</v>
      </c>
      <c r="V41" s="155"/>
      <c r="W41" s="160">
        <f t="shared" si="25"/>
        <v>0</v>
      </c>
      <c r="X41" s="155"/>
      <c r="Y41" s="160">
        <f t="shared" si="26"/>
        <v>0</v>
      </c>
      <c r="Z41" s="155"/>
      <c r="AA41" s="160">
        <f t="shared" si="27"/>
        <v>0</v>
      </c>
      <c r="AB41" s="163"/>
      <c r="AC41" s="160">
        <f t="shared" si="28"/>
        <v>0</v>
      </c>
      <c r="AD41" s="155"/>
      <c r="AE41" s="160">
        <f t="shared" si="29"/>
        <v>0</v>
      </c>
      <c r="AF41" s="155"/>
      <c r="AG41" s="160">
        <f t="shared" si="30"/>
        <v>0</v>
      </c>
      <c r="AH41" s="149"/>
      <c r="AI41" s="157">
        <f t="shared" si="16"/>
        <v>0</v>
      </c>
      <c r="AJ41" s="149"/>
      <c r="AK41" s="149"/>
    </row>
    <row r="42" spans="1:37">
      <c r="E42" s="222" t="s">
        <v>221</v>
      </c>
      <c r="F42" s="222"/>
      <c r="G42" s="261"/>
      <c r="H42" s="222"/>
      <c r="I42" s="895">
        <f>SUM(I34:I41)</f>
        <v>0</v>
      </c>
      <c r="K42" s="160">
        <f>SUM(K34:K41)</f>
        <v>0</v>
      </c>
      <c r="M42" s="160">
        <f>SUM(M34:M41)</f>
        <v>0</v>
      </c>
      <c r="O42" s="160">
        <f>SUM(O34:O41)</f>
        <v>0</v>
      </c>
      <c r="P42" s="163"/>
      <c r="Q42" s="160">
        <f>SUM(Q34:Q41)</f>
        <v>0</v>
      </c>
      <c r="S42" s="160">
        <f>SUM(S34:S41)</f>
        <v>0</v>
      </c>
      <c r="T42" s="163"/>
      <c r="U42" s="160">
        <f>SUM(U34:U41)</f>
        <v>0</v>
      </c>
      <c r="W42" s="160">
        <f>SUM(W34:W41)</f>
        <v>0</v>
      </c>
      <c r="Y42" s="160">
        <f>SUM(Y34:Y41)</f>
        <v>0</v>
      </c>
      <c r="AA42" s="160">
        <f>SUM(AA34:AA41)</f>
        <v>0</v>
      </c>
      <c r="AB42" s="163"/>
      <c r="AC42" s="160">
        <f>SUM(AC34:AC41)</f>
        <v>0</v>
      </c>
      <c r="AE42" s="160">
        <f>SUM(AE34:AE41)</f>
        <v>0</v>
      </c>
      <c r="AG42" s="160">
        <f>SUM(AG34:AG41)</f>
        <v>0</v>
      </c>
      <c r="AI42" s="157">
        <f t="shared" si="16"/>
        <v>0</v>
      </c>
    </row>
    <row r="43" spans="1:37">
      <c r="E43" s="222"/>
      <c r="F43" s="222"/>
      <c r="G43" s="261"/>
      <c r="H43" s="222"/>
      <c r="I43" s="262"/>
      <c r="K43" s="155"/>
      <c r="M43" s="155"/>
      <c r="O43" s="155"/>
      <c r="P43" s="155"/>
      <c r="Q43" s="155"/>
      <c r="S43" s="155"/>
      <c r="T43" s="155"/>
      <c r="U43" s="155"/>
      <c r="W43" s="155"/>
      <c r="Y43" s="155"/>
      <c r="Z43" s="155"/>
      <c r="AA43" s="155"/>
      <c r="AB43" s="155"/>
      <c r="AC43" s="155"/>
      <c r="AE43" s="155"/>
      <c r="AG43" s="155"/>
      <c r="AI43" s="157">
        <f t="shared" si="16"/>
        <v>0</v>
      </c>
    </row>
    <row r="44" spans="1:37" ht="15.75">
      <c r="B44" s="155"/>
      <c r="E44" s="476" t="s">
        <v>226</v>
      </c>
      <c r="F44" s="476"/>
      <c r="G44" s="477"/>
      <c r="H44" s="476"/>
      <c r="I44" s="478">
        <f>+I42++I24+I31</f>
        <v>4923758</v>
      </c>
      <c r="J44" s="27"/>
      <c r="K44" s="39">
        <f>+K42++K24+K31</f>
        <v>3522949</v>
      </c>
      <c r="L44" s="27"/>
      <c r="M44" s="39">
        <f>+M42++M24+M31</f>
        <v>1400809</v>
      </c>
      <c r="N44" s="27"/>
      <c r="O44" s="39">
        <f>+O42++O24+O31</f>
        <v>0</v>
      </c>
      <c r="P44" s="27"/>
      <c r="Q44" s="39">
        <f>+Q42++Q24+Q31</f>
        <v>0</v>
      </c>
      <c r="R44" s="27"/>
      <c r="S44" s="39">
        <f>+S42++S24+S31</f>
        <v>0</v>
      </c>
      <c r="T44" s="48"/>
      <c r="U44" s="39">
        <f>+U42++U24+U31</f>
        <v>0</v>
      </c>
      <c r="V44" s="27"/>
      <c r="W44" s="39">
        <f>+W42++W24+W31</f>
        <v>0</v>
      </c>
      <c r="X44" s="27"/>
      <c r="Y44" s="39">
        <f>+Y42++Y24+Y31</f>
        <v>0</v>
      </c>
      <c r="Z44" s="27"/>
      <c r="AA44" s="39">
        <f>+AA42++AA24+AA31</f>
        <v>0</v>
      </c>
      <c r="AB44" s="27"/>
      <c r="AC44" s="39">
        <f>+AC42++AC24+AC31</f>
        <v>0</v>
      </c>
      <c r="AD44" s="27"/>
      <c r="AE44" s="39">
        <f>+AE42++AE24+AE31</f>
        <v>0</v>
      </c>
      <c r="AF44" s="27"/>
      <c r="AG44" s="39">
        <f>+AG42++AG24+AG31</f>
        <v>0</v>
      </c>
      <c r="AH44" s="27"/>
      <c r="AI44" s="157">
        <f t="shared" si="16"/>
        <v>0</v>
      </c>
    </row>
    <row r="45" spans="1:37" ht="15.75">
      <c r="B45" s="155"/>
      <c r="E45" s="476"/>
      <c r="F45" s="476"/>
      <c r="G45" s="477"/>
      <c r="H45" s="476"/>
      <c r="I45" s="799"/>
      <c r="J45" s="27"/>
      <c r="K45" s="48"/>
      <c r="L45" s="27"/>
      <c r="M45" s="48"/>
      <c r="N45" s="27"/>
      <c r="O45" s="48"/>
      <c r="P45" s="48"/>
      <c r="Q45" s="48"/>
      <c r="R45" s="27"/>
      <c r="S45" s="48"/>
      <c r="T45" s="48"/>
      <c r="U45" s="48"/>
      <c r="V45" s="27"/>
      <c r="W45" s="48"/>
      <c r="X45" s="27"/>
      <c r="Y45" s="48"/>
      <c r="Z45" s="27"/>
      <c r="AA45" s="48"/>
      <c r="AB45" s="48"/>
      <c r="AC45" s="48"/>
      <c r="AD45" s="27"/>
      <c r="AE45" s="48"/>
      <c r="AF45" s="27"/>
      <c r="AG45" s="48"/>
      <c r="AH45" s="27"/>
      <c r="AI45" s="157">
        <f t="shared" si="16"/>
        <v>0</v>
      </c>
    </row>
    <row r="46" spans="1:37" ht="27" customHeight="1">
      <c r="A46" s="287"/>
      <c r="B46" s="155"/>
      <c r="C46" s="27" t="s">
        <v>407</v>
      </c>
      <c r="E46" s="476"/>
      <c r="F46" s="476"/>
      <c r="G46" s="113"/>
      <c r="H46" s="476"/>
      <c r="I46" s="799"/>
      <c r="J46" s="27"/>
      <c r="K46" s="48"/>
      <c r="L46" s="27"/>
      <c r="M46" s="48"/>
      <c r="N46" s="27"/>
      <c r="O46" s="48"/>
      <c r="P46" s="48"/>
      <c r="Q46" s="48"/>
      <c r="R46" s="27"/>
      <c r="S46" s="48"/>
      <c r="T46" s="48"/>
      <c r="U46" s="48"/>
      <c r="V46" s="27"/>
      <c r="W46" s="48"/>
      <c r="X46" s="27"/>
      <c r="Y46" s="48"/>
      <c r="Z46" s="27"/>
      <c r="AA46" s="48"/>
      <c r="AB46" s="48"/>
      <c r="AC46" s="48"/>
      <c r="AD46" s="27"/>
      <c r="AE46" s="48"/>
      <c r="AF46" s="27"/>
      <c r="AG46" s="48"/>
      <c r="AH46" s="27"/>
      <c r="AI46" s="157">
        <f t="shared" si="16"/>
        <v>0</v>
      </c>
    </row>
    <row r="47" spans="1:37" s="149" customFormat="1" ht="15.75">
      <c r="A47" s="893">
        <v>0</v>
      </c>
      <c r="B47" s="147">
        <f>Linkin!H40</f>
        <v>0</v>
      </c>
      <c r="C47" s="422">
        <v>840</v>
      </c>
      <c r="D47" s="87"/>
      <c r="E47" s="260" t="s">
        <v>483</v>
      </c>
      <c r="F47" s="480"/>
      <c r="G47" s="392" t="s">
        <v>604</v>
      </c>
      <c r="H47" s="480"/>
      <c r="I47" s="484">
        <f>B47</f>
        <v>0</v>
      </c>
      <c r="J47" s="166"/>
      <c r="K47" s="156">
        <f>ROUND(VLOOKUP($G47,factors,+K$376)*$I47,0)</f>
        <v>0</v>
      </c>
      <c r="M47" s="156">
        <f>ROUND(VLOOKUP($G47,factors,+M$376)*$I47,0)</f>
        <v>0</v>
      </c>
      <c r="N47" s="156"/>
      <c r="O47" s="156">
        <f>ROUND(VLOOKUP($G47,factors,+O$376)*$I47,0)</f>
        <v>0</v>
      </c>
      <c r="P47" s="156"/>
      <c r="Q47" s="156">
        <f>ROUND(VLOOKUP($G47,factors,+Q$376)*$I47,0)</f>
        <v>0</v>
      </c>
      <c r="R47" s="156"/>
      <c r="S47" s="155">
        <f>ROUND(VLOOKUP($G47,factors,+S$376)*$I47,0)</f>
        <v>0</v>
      </c>
      <c r="T47" s="155"/>
      <c r="U47" s="155">
        <f>ROUND(VLOOKUP($G47,factors,+U$376)*$I47,0)</f>
        <v>0</v>
      </c>
      <c r="V47" s="155"/>
      <c r="W47" s="155">
        <f>ROUND(VLOOKUP($G47,factors,+W$376)*$I47,0)</f>
        <v>0</v>
      </c>
      <c r="X47" s="155"/>
      <c r="Y47" s="155">
        <f>ROUND(VLOOKUP($G47,factors,+Y$376)*$I47,0)</f>
        <v>0</v>
      </c>
      <c r="Z47" s="155"/>
      <c r="AA47" s="155">
        <f>ROUND(VLOOKUP($G47,factors,+AA$376)*$I47,0)</f>
        <v>0</v>
      </c>
      <c r="AB47" s="155"/>
      <c r="AC47" s="155">
        <f>ROUND(VLOOKUP($G47,factors,+AC$376)*$I47,0)</f>
        <v>0</v>
      </c>
      <c r="AD47" s="155"/>
      <c r="AE47" s="155">
        <f>ROUND(VLOOKUP($G47,factors,+AE$376)*$I47,0)</f>
        <v>0</v>
      </c>
      <c r="AF47" s="155"/>
      <c r="AG47" s="155">
        <f>ROUND(VLOOKUP($G47,factors,+AG$376)*$I47,0)</f>
        <v>0</v>
      </c>
      <c r="AI47" s="157">
        <f t="shared" si="16"/>
        <v>0</v>
      </c>
    </row>
    <row r="48" spans="1:37" s="149" customFormat="1" ht="15.75">
      <c r="A48" s="87"/>
      <c r="B48" s="147"/>
      <c r="C48" s="422">
        <v>841</v>
      </c>
      <c r="D48" s="87"/>
      <c r="E48" s="260" t="s">
        <v>484</v>
      </c>
      <c r="F48" s="480"/>
      <c r="G48" s="261">
        <v>4</v>
      </c>
      <c r="H48" s="480"/>
      <c r="I48" s="484">
        <f>+Linkin!H41</f>
        <v>0</v>
      </c>
      <c r="J48" s="166"/>
      <c r="K48" s="156"/>
      <c r="M48" s="156"/>
      <c r="N48" s="156"/>
      <c r="O48" s="156"/>
      <c r="P48" s="156"/>
      <c r="Q48" s="156"/>
      <c r="R48" s="156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I48" s="157"/>
    </row>
    <row r="49" spans="2:35" s="149" customFormat="1" ht="15.75">
      <c r="B49" s="155"/>
      <c r="C49" s="422" t="s">
        <v>486</v>
      </c>
      <c r="E49" s="222" t="s">
        <v>485</v>
      </c>
      <c r="F49" s="480"/>
      <c r="G49" s="261">
        <v>4</v>
      </c>
      <c r="H49" s="480"/>
      <c r="I49" s="485">
        <f>+Linkin!H42</f>
        <v>0</v>
      </c>
      <c r="J49" s="166"/>
      <c r="K49" s="161">
        <f>ROUND(VLOOKUP($G49,factors,+K$376)*$I49,0)</f>
        <v>0</v>
      </c>
      <c r="M49" s="161">
        <f>ROUND(VLOOKUP($G49,factors,+M$376)*$I49,0)</f>
        <v>0</v>
      </c>
      <c r="N49" s="156"/>
      <c r="O49" s="161">
        <f>ROUND(VLOOKUP($G49,factors,+O$376)*$I49,0)</f>
        <v>0</v>
      </c>
      <c r="P49" s="162"/>
      <c r="Q49" s="161">
        <f>ROUND(VLOOKUP($G49,factors,+Q$376)*$I49,0)</f>
        <v>0</v>
      </c>
      <c r="R49" s="156"/>
      <c r="S49" s="160">
        <f>ROUND(VLOOKUP($G49,factors,+S$376)*$I49,0)</f>
        <v>0</v>
      </c>
      <c r="T49" s="163"/>
      <c r="U49" s="160">
        <f>ROUND(VLOOKUP($G49,factors,+U$376)*$I49,0)</f>
        <v>0</v>
      </c>
      <c r="V49" s="155"/>
      <c r="W49" s="160">
        <f>ROUND(VLOOKUP($G49,factors,+W$376)*$I49,0)</f>
        <v>0</v>
      </c>
      <c r="X49" s="155"/>
      <c r="Y49" s="160">
        <f>ROUND(VLOOKUP($G49,factors,+Y$376)*$I49,0)</f>
        <v>0</v>
      </c>
      <c r="Z49" s="155"/>
      <c r="AA49" s="160">
        <f>ROUND(VLOOKUP($G49,factors,+AA$376)*$I49,0)</f>
        <v>0</v>
      </c>
      <c r="AB49" s="163"/>
      <c r="AC49" s="160">
        <f>ROUND(VLOOKUP($G49,factors,+AC$376)*$I49,0)</f>
        <v>0</v>
      </c>
      <c r="AD49" s="155"/>
      <c r="AE49" s="160">
        <f>ROUND(VLOOKUP($G49,factors,+AE$376)*$I49,0)</f>
        <v>0</v>
      </c>
      <c r="AF49" s="155"/>
      <c r="AG49" s="160">
        <f>ROUND(VLOOKUP($G49,factors,+AG$376)*$I49,0)</f>
        <v>0</v>
      </c>
      <c r="AI49" s="157">
        <f t="shared" ref="AI49:AI63" si="31">SUM(K49:AG49)-I49</f>
        <v>0</v>
      </c>
    </row>
    <row r="50" spans="2:35" ht="15.75">
      <c r="B50" s="155"/>
      <c r="E50" s="101"/>
      <c r="F50" s="476"/>
      <c r="G50" s="113"/>
      <c r="H50" s="476"/>
      <c r="I50" s="484"/>
      <c r="J50" s="27"/>
      <c r="K50" s="162"/>
      <c r="M50" s="162"/>
      <c r="N50" s="156"/>
      <c r="O50" s="162"/>
      <c r="P50" s="162"/>
      <c r="Q50" s="162"/>
      <c r="R50" s="156"/>
      <c r="S50" s="163"/>
      <c r="T50" s="163"/>
      <c r="U50" s="163"/>
      <c r="V50" s="155"/>
      <c r="W50" s="163"/>
      <c r="X50" s="155"/>
      <c r="Y50" s="163"/>
      <c r="Z50" s="155"/>
      <c r="AA50" s="163"/>
      <c r="AB50" s="163"/>
      <c r="AC50" s="163"/>
      <c r="AD50" s="155"/>
      <c r="AE50" s="163"/>
      <c r="AF50" s="155"/>
      <c r="AG50" s="163"/>
      <c r="AI50" s="157">
        <f t="shared" si="31"/>
        <v>0</v>
      </c>
    </row>
    <row r="51" spans="2:35" s="27" customFormat="1" ht="15" customHeight="1">
      <c r="B51" s="249">
        <f>+I51+I44</f>
        <v>4923758</v>
      </c>
      <c r="E51" s="476" t="s">
        <v>376</v>
      </c>
      <c r="F51" s="476"/>
      <c r="G51" s="477"/>
      <c r="H51" s="476"/>
      <c r="I51" s="479">
        <f>SUM(I47:I49)</f>
        <v>0</v>
      </c>
      <c r="K51" s="48">
        <f>SUM(K47:K49)</f>
        <v>0</v>
      </c>
      <c r="M51" s="48">
        <f>SUM(M47:M49)</f>
        <v>0</v>
      </c>
      <c r="O51" s="48">
        <f>SUM(O47:O49)</f>
        <v>0</v>
      </c>
      <c r="Q51" s="48">
        <f>SUM(Q47:Q49)</f>
        <v>0</v>
      </c>
      <c r="S51" s="48">
        <f>SUM(S47:S49)</f>
        <v>0</v>
      </c>
      <c r="T51" s="48"/>
      <c r="U51" s="48">
        <f>SUM(U47:U49)</f>
        <v>0</v>
      </c>
      <c r="W51" s="48">
        <f>SUM(W47:W49)</f>
        <v>0</v>
      </c>
      <c r="Y51" s="48">
        <f>SUM(Y47:Y49)</f>
        <v>0</v>
      </c>
      <c r="AA51" s="48">
        <f>SUM(AA47:AA49)</f>
        <v>0</v>
      </c>
      <c r="AC51" s="48">
        <f>SUM(AC47:AC49)</f>
        <v>0</v>
      </c>
      <c r="AE51" s="48">
        <f t="shared" ref="AE51" si="32">SUM(AE47:AE49)</f>
        <v>0</v>
      </c>
      <c r="AG51" s="48">
        <f t="shared" ref="AG51" si="33">SUM(AG47:AG49)</f>
        <v>0</v>
      </c>
      <c r="AI51" s="157">
        <f t="shared" si="31"/>
        <v>0</v>
      </c>
    </row>
    <row r="52" spans="2:35" ht="15.75">
      <c r="B52" s="155"/>
      <c r="E52" s="222"/>
      <c r="F52" s="476"/>
      <c r="G52" s="477"/>
      <c r="H52" s="476"/>
      <c r="I52" s="798"/>
      <c r="J52" s="27"/>
      <c r="K52" s="48"/>
      <c r="L52" s="27"/>
      <c r="M52" s="48"/>
      <c r="N52" s="27"/>
      <c r="O52" s="48"/>
      <c r="P52" s="48"/>
      <c r="Q52" s="48"/>
      <c r="R52" s="27"/>
      <c r="S52" s="48"/>
      <c r="T52" s="48"/>
      <c r="U52" s="48"/>
      <c r="V52" s="27"/>
      <c r="W52" s="48"/>
      <c r="X52" s="27"/>
      <c r="Y52" s="48"/>
      <c r="Z52" s="27"/>
      <c r="AA52" s="48"/>
      <c r="AB52" s="48"/>
      <c r="AC52" s="48"/>
      <c r="AD52" s="27"/>
      <c r="AE52" s="48"/>
      <c r="AF52" s="27"/>
      <c r="AG52" s="48"/>
      <c r="AH52" s="27"/>
      <c r="AI52" s="157">
        <f t="shared" si="31"/>
        <v>0</v>
      </c>
    </row>
    <row r="53" spans="2:35" ht="15.75">
      <c r="B53" s="155"/>
      <c r="C53" s="27" t="s">
        <v>377</v>
      </c>
      <c r="E53" s="476"/>
      <c r="F53" s="476"/>
      <c r="G53" s="113"/>
      <c r="H53" s="101"/>
      <c r="I53" s="798"/>
      <c r="J53" s="27"/>
      <c r="K53" s="48"/>
      <c r="L53" s="27"/>
      <c r="M53" s="48"/>
      <c r="N53" s="27"/>
      <c r="O53" s="48"/>
      <c r="P53" s="48"/>
      <c r="Q53" s="48"/>
      <c r="R53" s="27"/>
      <c r="S53" s="48"/>
      <c r="T53" s="48"/>
      <c r="U53" s="48"/>
      <c r="V53" s="27"/>
      <c r="W53" s="48"/>
      <c r="X53" s="27"/>
      <c r="Y53" s="48"/>
      <c r="Z53" s="27"/>
      <c r="AA53" s="48"/>
      <c r="AB53" s="48"/>
      <c r="AC53" s="48"/>
      <c r="AD53" s="27"/>
      <c r="AE53" s="48"/>
      <c r="AF53" s="27"/>
      <c r="AG53" s="48"/>
      <c r="AH53" s="27"/>
      <c r="AI53" s="157">
        <f t="shared" si="31"/>
        <v>0</v>
      </c>
    </row>
    <row r="54" spans="2:35" ht="15.75">
      <c r="B54" s="155"/>
      <c r="C54" s="159" t="s">
        <v>378</v>
      </c>
      <c r="E54" s="101" t="s">
        <v>371</v>
      </c>
      <c r="F54" s="476"/>
      <c r="G54" s="392">
        <v>4</v>
      </c>
      <c r="H54" s="101"/>
      <c r="I54" s="484">
        <f>+Linkin!H45</f>
        <v>0</v>
      </c>
      <c r="J54" s="27"/>
      <c r="K54" s="156">
        <f>ROUND(VLOOKUP($G54,factors,+K$376)*$I54,0)</f>
        <v>0</v>
      </c>
      <c r="M54" s="156">
        <f>ROUND(VLOOKUP($G54,factors,+M$376)*$I54,0)</f>
        <v>0</v>
      </c>
      <c r="N54" s="156"/>
      <c r="O54" s="156">
        <f>ROUND(VLOOKUP($G54,factors,+O$376)*$I54,0)</f>
        <v>0</v>
      </c>
      <c r="P54" s="156"/>
      <c r="Q54" s="156">
        <f>ROUND(VLOOKUP($G54,factors,+Q$376)*$I54,0)</f>
        <v>0</v>
      </c>
      <c r="R54" s="156"/>
      <c r="S54" s="155">
        <f>ROUND(VLOOKUP($G54,factors,+S$376)*$I54,0)</f>
        <v>0</v>
      </c>
      <c r="T54" s="155"/>
      <c r="U54" s="155">
        <f>ROUND(VLOOKUP($G54,factors,+U$376)*$I54,0)</f>
        <v>0</v>
      </c>
      <c r="V54" s="155"/>
      <c r="W54" s="155">
        <f>ROUND(VLOOKUP($G54,factors,+W$376)*$I54,0)</f>
        <v>0</v>
      </c>
      <c r="X54" s="155"/>
      <c r="Y54" s="155">
        <f>ROUND(VLOOKUP($G54,factors,+Y$376)*$I54,0)</f>
        <v>0</v>
      </c>
      <c r="Z54" s="155"/>
      <c r="AA54" s="155">
        <f>ROUND(VLOOKUP($G54,factors,+AA$376)*$I54,0)</f>
        <v>0</v>
      </c>
      <c r="AB54" s="155"/>
      <c r="AC54" s="155">
        <f>ROUND(VLOOKUP($G54,factors,+AC$376)*$I54,0)</f>
        <v>0</v>
      </c>
      <c r="AD54" s="155"/>
      <c r="AE54" s="155">
        <f>ROUND(VLOOKUP($G54,factors,+AE$376)*$I54,0)</f>
        <v>0</v>
      </c>
      <c r="AF54" s="155"/>
      <c r="AG54" s="155">
        <f>ROUND(VLOOKUP($G54,factors,+AG$376)*$I54,0)</f>
        <v>0</v>
      </c>
      <c r="AI54" s="157">
        <f t="shared" si="31"/>
        <v>0</v>
      </c>
    </row>
    <row r="55" spans="2:35" ht="15.75">
      <c r="B55" s="155"/>
      <c r="C55" s="159" t="s">
        <v>379</v>
      </c>
      <c r="E55" s="101" t="s">
        <v>372</v>
      </c>
      <c r="F55" s="476"/>
      <c r="G55" s="392">
        <v>4</v>
      </c>
      <c r="H55" s="101"/>
      <c r="I55" s="485">
        <f>+Linkin!H46*0</f>
        <v>0</v>
      </c>
      <c r="J55" s="476"/>
      <c r="K55" s="161">
        <f>ROUND(VLOOKUP($G55,factors,+K$376)*$I55,0)</f>
        <v>0</v>
      </c>
      <c r="M55" s="161">
        <f>ROUND(VLOOKUP($G55,factors,+M$376)*$I55,0)</f>
        <v>0</v>
      </c>
      <c r="N55" s="156"/>
      <c r="O55" s="161">
        <f>ROUND(VLOOKUP($G55,factors,+O$376)*$I55,0)</f>
        <v>0</v>
      </c>
      <c r="P55" s="162"/>
      <c r="Q55" s="161">
        <f>ROUND(VLOOKUP($G55,factors,+Q$376)*$I55,0)</f>
        <v>0</v>
      </c>
      <c r="R55" s="156"/>
      <c r="S55" s="160">
        <f>ROUND(VLOOKUP($G55,factors,+S$376)*$I55,0)</f>
        <v>0</v>
      </c>
      <c r="T55" s="163"/>
      <c r="U55" s="160">
        <f>ROUND(VLOOKUP($G55,factors,+U$376)*$I55,0)</f>
        <v>0</v>
      </c>
      <c r="V55" s="155"/>
      <c r="W55" s="160">
        <f>ROUND(VLOOKUP($G55,factors,+W$376)*$I55,0)</f>
        <v>0</v>
      </c>
      <c r="X55" s="155"/>
      <c r="Y55" s="160">
        <f>ROUND(VLOOKUP($G55,factors,+Y$376)*$I55,0)</f>
        <v>0</v>
      </c>
      <c r="Z55" s="155"/>
      <c r="AA55" s="160">
        <f>ROUND(VLOOKUP($G55,factors,+AA$376)*$I55,0)</f>
        <v>0</v>
      </c>
      <c r="AB55" s="163"/>
      <c r="AC55" s="160">
        <f>ROUND(VLOOKUP($G55,factors,+AC$376)*$I55,0)</f>
        <v>0</v>
      </c>
      <c r="AD55" s="155"/>
      <c r="AE55" s="160">
        <f>ROUND(VLOOKUP($G55,factors,+AE$376)*$I55,0)</f>
        <v>0</v>
      </c>
      <c r="AF55" s="155"/>
      <c r="AG55" s="160">
        <f>ROUND(VLOOKUP($G55,factors,+AG$376)*$I55,0)</f>
        <v>0</v>
      </c>
      <c r="AI55" s="157">
        <f t="shared" si="31"/>
        <v>0</v>
      </c>
    </row>
    <row r="56" spans="2:35" ht="15.75">
      <c r="B56" s="155"/>
      <c r="E56" s="476"/>
      <c r="F56" s="476"/>
      <c r="G56" s="113"/>
      <c r="H56" s="101"/>
      <c r="I56" s="260"/>
      <c r="J56" s="27"/>
      <c r="K56" s="162"/>
      <c r="M56" s="162"/>
      <c r="N56" s="156"/>
      <c r="O56" s="162"/>
      <c r="P56" s="162"/>
      <c r="Q56" s="162"/>
      <c r="R56" s="156"/>
      <c r="S56" s="163"/>
      <c r="T56" s="163"/>
      <c r="U56" s="163"/>
      <c r="V56" s="155"/>
      <c r="W56" s="163"/>
      <c r="X56" s="155"/>
      <c r="Y56" s="163"/>
      <c r="Z56" s="155"/>
      <c r="AA56" s="163"/>
      <c r="AB56" s="163"/>
      <c r="AC56" s="163"/>
      <c r="AD56" s="155"/>
      <c r="AE56" s="163"/>
      <c r="AF56" s="155"/>
      <c r="AG56" s="163"/>
      <c r="AI56" s="157">
        <f t="shared" si="31"/>
        <v>0</v>
      </c>
    </row>
    <row r="57" spans="2:35" s="27" customFormat="1" ht="15.75">
      <c r="B57" s="249"/>
      <c r="E57" s="476" t="s">
        <v>380</v>
      </c>
      <c r="F57" s="476"/>
      <c r="G57" s="477"/>
      <c r="H57" s="476"/>
      <c r="I57" s="479">
        <f>SUM(I54:I55)</f>
        <v>0</v>
      </c>
      <c r="K57" s="48">
        <f>SUM(K54:K55)</f>
        <v>0</v>
      </c>
      <c r="M57" s="48">
        <f>SUM(M54:M55)</f>
        <v>0</v>
      </c>
      <c r="O57" s="48">
        <f>SUM(O54:O55)</f>
        <v>0</v>
      </c>
      <c r="Q57" s="48">
        <f>SUM(Q54:Q55)</f>
        <v>0</v>
      </c>
      <c r="S57" s="48">
        <f>SUM(S54:S55)</f>
        <v>0</v>
      </c>
      <c r="T57" s="48"/>
      <c r="U57" s="48">
        <f>SUM(U54:U55)</f>
        <v>0</v>
      </c>
      <c r="W57" s="48">
        <f>SUM(W54:W55)</f>
        <v>0</v>
      </c>
      <c r="Y57" s="48">
        <f>SUM(Y54:Y55)</f>
        <v>0</v>
      </c>
      <c r="AA57" s="48">
        <f>SUM(AA54:AA55)</f>
        <v>0</v>
      </c>
      <c r="AC57" s="48">
        <f>SUM(AC54:AC55)</f>
        <v>0</v>
      </c>
      <c r="AE57" s="48">
        <f t="shared" ref="AE57" si="34">SUM(AE54:AE55)</f>
        <v>0</v>
      </c>
      <c r="AG57" s="48">
        <f t="shared" ref="AG57" si="35">SUM(AG54:AG55)</f>
        <v>0</v>
      </c>
      <c r="AI57" s="157">
        <f t="shared" si="31"/>
        <v>0</v>
      </c>
    </row>
    <row r="58" spans="2:35" ht="20.25" customHeight="1">
      <c r="E58" s="222"/>
      <c r="F58" s="222"/>
      <c r="G58" s="261"/>
      <c r="H58" s="222"/>
      <c r="I58" s="262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I58" s="157">
        <f t="shared" si="31"/>
        <v>0</v>
      </c>
    </row>
    <row r="59" spans="2:35" ht="15.75">
      <c r="C59" s="27" t="s">
        <v>229</v>
      </c>
      <c r="E59" s="222"/>
      <c r="F59" s="222"/>
      <c r="G59" s="261"/>
      <c r="H59" s="222"/>
      <c r="I59" s="490"/>
      <c r="S59" s="155"/>
      <c r="T59" s="155"/>
      <c r="U59" s="155"/>
      <c r="Z59" s="155"/>
      <c r="AA59" s="155"/>
      <c r="AB59" s="155"/>
      <c r="AC59" s="155"/>
      <c r="AE59" s="155"/>
      <c r="AG59" s="155"/>
      <c r="AI59" s="157">
        <f t="shared" si="31"/>
        <v>0</v>
      </c>
    </row>
    <row r="60" spans="2:35" ht="3.75" customHeight="1">
      <c r="C60" s="149" t="s">
        <v>217</v>
      </c>
      <c r="E60" s="222" t="s">
        <v>218</v>
      </c>
      <c r="F60" s="222"/>
      <c r="G60" s="261"/>
      <c r="H60" s="222"/>
      <c r="I60" s="490"/>
      <c r="S60" s="155"/>
      <c r="T60" s="155"/>
      <c r="U60" s="155"/>
      <c r="Z60" s="155"/>
      <c r="AA60" s="155"/>
      <c r="AB60" s="155"/>
      <c r="AC60" s="155"/>
      <c r="AE60" s="155"/>
      <c r="AG60" s="155"/>
      <c r="AI60" s="157">
        <f t="shared" si="31"/>
        <v>0</v>
      </c>
    </row>
    <row r="61" spans="2:35">
      <c r="C61" s="149" t="s">
        <v>217</v>
      </c>
      <c r="E61" s="475" t="s">
        <v>206</v>
      </c>
      <c r="F61" s="222"/>
      <c r="G61" s="261"/>
      <c r="H61" s="222"/>
      <c r="I61" s="490"/>
      <c r="S61" s="155"/>
      <c r="T61" s="155"/>
      <c r="U61" s="155"/>
      <c r="Z61" s="155"/>
      <c r="AA61" s="155"/>
      <c r="AB61" s="155"/>
      <c r="AC61" s="155"/>
      <c r="AE61" s="155"/>
      <c r="AG61" s="155"/>
      <c r="AI61" s="157">
        <f t="shared" si="31"/>
        <v>0</v>
      </c>
    </row>
    <row r="62" spans="2:35">
      <c r="C62" s="159">
        <v>870</v>
      </c>
      <c r="E62" s="222" t="s">
        <v>109</v>
      </c>
      <c r="F62" s="222"/>
      <c r="G62" s="261">
        <v>10</v>
      </c>
      <c r="H62" s="222"/>
      <c r="I62" s="262">
        <f>+Linkin!H50</f>
        <v>8138991</v>
      </c>
      <c r="K62" s="156">
        <f>ROUND(VLOOKUP($G62,factors,+K$376)*$I62,0)</f>
        <v>1742558</v>
      </c>
      <c r="M62" s="156">
        <f>ROUND(VLOOKUP($G62,factors,+M$376)*$I62,0)</f>
        <v>961215</v>
      </c>
      <c r="N62" s="156"/>
      <c r="O62" s="156">
        <f>ROUND(VLOOKUP($G62,factors,+O$376)*$I62,0)</f>
        <v>261262</v>
      </c>
      <c r="P62" s="156"/>
      <c r="Q62" s="156">
        <f>ROUND(VLOOKUP($G62,factors,+Q$376)*$I62,0)</f>
        <v>258820</v>
      </c>
      <c r="R62" s="156"/>
      <c r="S62" s="155">
        <f>ROUND(VLOOKUP($G62,factors,+S$376)*$I62,0)</f>
        <v>554265</v>
      </c>
      <c r="T62" s="155"/>
      <c r="U62" s="155">
        <f>ROUND(VLOOKUP($G62,factors,+U$376)*$I62,0)</f>
        <v>180686</v>
      </c>
      <c r="W62" s="156">
        <f>ROUND(VLOOKUP($G62,factors,+W$376)*$I62,0)</f>
        <v>2839694</v>
      </c>
      <c r="X62" s="156"/>
      <c r="Y62" s="156">
        <f>ROUND(VLOOKUP($G62,factors,+Y$376)*$I62,0)</f>
        <v>952262</v>
      </c>
      <c r="Z62" s="155"/>
      <c r="AA62" s="155">
        <f>ROUND(VLOOKUP($G62,factors,+AA$376)*$I62,0)</f>
        <v>181499</v>
      </c>
      <c r="AB62" s="155"/>
      <c r="AC62" s="155">
        <f>ROUND(VLOOKUP($G62,factors,+AC$376)*$I62,0)</f>
        <v>116388</v>
      </c>
      <c r="AE62" s="155">
        <f>ROUND(VLOOKUP($G62,factors,+AE$376)*$I62,0)</f>
        <v>22789</v>
      </c>
      <c r="AG62" s="155">
        <f>ROUND(VLOOKUP($G62,factors,+AG$376)*$I62,0)</f>
        <v>67554</v>
      </c>
      <c r="AH62" s="156"/>
      <c r="AI62" s="157">
        <f t="shared" si="31"/>
        <v>1</v>
      </c>
    </row>
    <row r="63" spans="2:35">
      <c r="C63" s="159">
        <v>871</v>
      </c>
      <c r="E63" s="222" t="s">
        <v>110</v>
      </c>
      <c r="F63" s="222"/>
      <c r="G63" s="392" t="s">
        <v>459</v>
      </c>
      <c r="H63" s="222"/>
      <c r="I63" s="262">
        <f>+Linkin!H51</f>
        <v>1859361</v>
      </c>
      <c r="K63" s="156">
        <f>ROUND(VLOOKUP($G63,factors,+K$376)*$I63,0)</f>
        <v>600574</v>
      </c>
      <c r="M63" s="156">
        <f>ROUND(VLOOKUP($G63,factors,+M$376)*$I63,0)</f>
        <v>331896</v>
      </c>
      <c r="N63" s="156"/>
      <c r="O63" s="156">
        <f>ROUND(VLOOKUP($G63,factors,+O$376)*$I63,0)</f>
        <v>90737</v>
      </c>
      <c r="P63" s="156"/>
      <c r="Q63" s="156">
        <f>ROUND(VLOOKUP($G63,factors,+Q$376)*$I63,0)</f>
        <v>91666</v>
      </c>
      <c r="R63" s="156"/>
      <c r="S63" s="155">
        <f>ROUND(VLOOKUP($G63,factors,+S$376)*$I63,0)</f>
        <v>597227</v>
      </c>
      <c r="T63" s="155"/>
      <c r="U63" s="155">
        <f>ROUND(VLOOKUP($G63,factors,+U$376)*$I63,0)</f>
        <v>147261</v>
      </c>
      <c r="W63" s="156">
        <f>ROUND(VLOOKUP($G63,factors,+W$376)*$I63,0)</f>
        <v>0</v>
      </c>
      <c r="X63" s="156"/>
      <c r="Y63" s="156">
        <f>ROUND(VLOOKUP($G63,factors,+Y$376)*$I63,0)</f>
        <v>0</v>
      </c>
      <c r="Z63" s="155"/>
      <c r="AA63" s="155">
        <f>ROUND(VLOOKUP($G63,factors,+AA$376)*$I63,0)</f>
        <v>0</v>
      </c>
      <c r="AB63" s="155"/>
      <c r="AC63" s="155">
        <f>ROUND(VLOOKUP($G63,factors,+AC$376)*$I63,0)</f>
        <v>0</v>
      </c>
      <c r="AE63" s="155">
        <f>ROUND(VLOOKUP($G63,factors,+AE$376)*$I63,0)</f>
        <v>0</v>
      </c>
      <c r="AG63" s="155">
        <f>ROUND(VLOOKUP($G63,factors,+AG$376)*$I63,0)</f>
        <v>0</v>
      </c>
      <c r="AH63" s="156"/>
      <c r="AI63" s="157">
        <f t="shared" si="31"/>
        <v>0</v>
      </c>
    </row>
    <row r="64" spans="2:35">
      <c r="C64" s="159">
        <v>872</v>
      </c>
      <c r="E64" s="222" t="s">
        <v>487</v>
      </c>
      <c r="F64" s="222"/>
      <c r="G64" s="392"/>
      <c r="H64" s="222"/>
      <c r="I64" s="262">
        <f>+Linkin!H52</f>
        <v>0</v>
      </c>
      <c r="K64" s="156"/>
      <c r="M64" s="156"/>
      <c r="N64" s="156"/>
      <c r="O64" s="156"/>
      <c r="P64" s="156"/>
      <c r="Q64" s="156"/>
      <c r="R64" s="156"/>
      <c r="S64" s="155"/>
      <c r="T64" s="155"/>
      <c r="U64" s="155"/>
      <c r="W64" s="156"/>
      <c r="X64" s="156"/>
      <c r="Y64" s="156"/>
      <c r="Z64" s="155"/>
      <c r="AA64" s="155"/>
      <c r="AB64" s="155"/>
      <c r="AC64" s="155"/>
      <c r="AE64" s="155"/>
      <c r="AG64" s="155"/>
      <c r="AH64" s="156"/>
      <c r="AI64" s="157"/>
    </row>
    <row r="65" spans="1:459">
      <c r="C65" s="159">
        <v>873</v>
      </c>
      <c r="E65" s="260" t="s">
        <v>600</v>
      </c>
      <c r="F65" s="222"/>
      <c r="G65" s="261">
        <v>2</v>
      </c>
      <c r="H65" s="222"/>
      <c r="I65" s="262">
        <f>+Linkin!H53</f>
        <v>0</v>
      </c>
      <c r="K65" s="156">
        <f>ROUND(VLOOKUP($G65,factors,+K$376)*$I65,0)</f>
        <v>0</v>
      </c>
      <c r="M65" s="156">
        <f>ROUND(VLOOKUP($G65,factors,+M$376)*$I65,0)</f>
        <v>0</v>
      </c>
      <c r="N65" s="156"/>
      <c r="O65" s="156">
        <f>ROUND(VLOOKUP($G65,factors,+O$376)*$I65,0)</f>
        <v>0</v>
      </c>
      <c r="P65" s="156"/>
      <c r="Q65" s="156">
        <f>ROUND(VLOOKUP($G65,factors,+Q$376)*$I65,0)</f>
        <v>0</v>
      </c>
      <c r="R65" s="156"/>
      <c r="S65" s="155">
        <f>ROUND(VLOOKUP($G65,factors,+S$376)*$I65,0)</f>
        <v>0</v>
      </c>
      <c r="T65" s="155"/>
      <c r="U65" s="155">
        <f>ROUND(VLOOKUP($G65,factors,+U$376)*$I65,0)</f>
        <v>0</v>
      </c>
      <c r="W65" s="156">
        <f>ROUND(VLOOKUP($G65,factors,+W$376)*$I65,0)</f>
        <v>0</v>
      </c>
      <c r="X65" s="156"/>
      <c r="Y65" s="156">
        <f>ROUND(VLOOKUP($G65,factors,+Y$376)*$I65,0)</f>
        <v>0</v>
      </c>
      <c r="Z65" s="155"/>
      <c r="AA65" s="155">
        <f>ROUND(VLOOKUP($G65,factors,+AA$376)*$I65,0)</f>
        <v>0</v>
      </c>
      <c r="AB65" s="155"/>
      <c r="AC65" s="155">
        <f>ROUND(VLOOKUP($G65,factors,+AC$376)*$I65,0)</f>
        <v>0</v>
      </c>
      <c r="AE65" s="155">
        <f>ROUND(VLOOKUP($G65,factors,+AE$376)*$I65,0)</f>
        <v>0</v>
      </c>
      <c r="AG65" s="155">
        <f>ROUND(VLOOKUP($G65,factors,+AG$376)*$I65,0)</f>
        <v>0</v>
      </c>
      <c r="AH65" s="156"/>
      <c r="AI65" s="157">
        <f t="shared" ref="AI65:AI96" si="36">SUM(K65:AG65)-I65</f>
        <v>0</v>
      </c>
    </row>
    <row r="66" spans="1:459" s="87" customFormat="1">
      <c r="A66" s="155">
        <f>+Linkin!H54</f>
        <v>21553580</v>
      </c>
      <c r="B66" s="147">
        <f>SUM(I67:I69)</f>
        <v>21553579.936436124</v>
      </c>
      <c r="C66" s="176">
        <v>874</v>
      </c>
      <c r="E66" s="260" t="s">
        <v>324</v>
      </c>
      <c r="F66" s="260"/>
      <c r="G66" s="392"/>
      <c r="H66" s="260"/>
      <c r="I66" s="262"/>
      <c r="S66" s="147"/>
      <c r="T66" s="147"/>
      <c r="U66" s="147"/>
      <c r="Z66" s="147"/>
      <c r="AA66" s="147"/>
      <c r="AB66" s="147"/>
      <c r="AC66" s="147"/>
      <c r="AE66" s="147"/>
      <c r="AG66" s="147"/>
      <c r="AI66" s="157">
        <f t="shared" si="36"/>
        <v>0</v>
      </c>
    </row>
    <row r="67" spans="1:459" s="87" customFormat="1">
      <c r="A67" s="310">
        <v>11318222.063563876</v>
      </c>
      <c r="B67" s="434">
        <v>0.35170000000000001</v>
      </c>
      <c r="C67" s="176" t="s">
        <v>217</v>
      </c>
      <c r="E67" s="260" t="s">
        <v>395</v>
      </c>
      <c r="F67" s="260"/>
      <c r="G67" s="392">
        <v>5</v>
      </c>
      <c r="H67" s="260"/>
      <c r="I67" s="262">
        <f>ROUND(A$67*B67,0)</f>
        <v>3980619</v>
      </c>
      <c r="K67" s="177">
        <f t="shared" ref="K67:K76" si="37">ROUND(VLOOKUP($G67,factors,+K$376)*$I67,0)</f>
        <v>2085048</v>
      </c>
      <c r="M67" s="177">
        <f t="shared" ref="M67:M76" si="38">ROUND(VLOOKUP($G67,factors,+M$376)*$I67,0)</f>
        <v>1150001</v>
      </c>
      <c r="N67" s="177"/>
      <c r="O67" s="177">
        <f t="shared" ref="O67:O76" si="39">ROUND(VLOOKUP($G67,factors,+O$376)*$I67,0)</f>
        <v>311682</v>
      </c>
      <c r="P67" s="177"/>
      <c r="Q67" s="177">
        <f t="shared" ref="Q67:Q76" si="40">ROUND(VLOOKUP($G67,factors,+Q$376)*$I67,0)</f>
        <v>306508</v>
      </c>
      <c r="R67" s="177"/>
      <c r="S67" s="147">
        <f t="shared" ref="S67:S76" si="41">ROUND(VLOOKUP($G67,factors,+S$376)*$I67,0)</f>
        <v>0</v>
      </c>
      <c r="T67" s="147"/>
      <c r="U67" s="147">
        <f t="shared" ref="U67:U76" si="42">ROUND(VLOOKUP($G67,factors,+U$376)*$I67,0)</f>
        <v>127380</v>
      </c>
      <c r="W67" s="177">
        <f t="shared" ref="W67:W76" si="43">ROUND(VLOOKUP($G67,factors,+W$376)*$I67,0)</f>
        <v>0</v>
      </c>
      <c r="X67" s="177"/>
      <c r="Y67" s="177">
        <f>ROUND(VLOOKUP($G67,factors,+Y$376)*$I67,0)</f>
        <v>0</v>
      </c>
      <c r="Z67" s="147"/>
      <c r="AA67" s="147">
        <f>ROUND(VLOOKUP($G67,factors,+AA$376)*$I67,0)</f>
        <v>0</v>
      </c>
      <c r="AB67" s="147"/>
      <c r="AC67" s="147">
        <f>ROUND(VLOOKUP($G67,factors,+AC$376)*$I67,0)</f>
        <v>0</v>
      </c>
      <c r="AE67" s="147">
        <f>ROUND(VLOOKUP($G67,factors,+AE$376)*$I67,0)</f>
        <v>0</v>
      </c>
      <c r="AG67" s="147">
        <f>ROUND(VLOOKUP($G67,factors,+AG$376)*$I67,0)</f>
        <v>0</v>
      </c>
      <c r="AH67" s="177"/>
      <c r="AI67" s="157">
        <f t="shared" si="36"/>
        <v>0</v>
      </c>
    </row>
    <row r="68" spans="1:459" s="272" customFormat="1">
      <c r="A68" s="435"/>
      <c r="B68" s="434">
        <v>0.64829999999999999</v>
      </c>
      <c r="C68" s="392"/>
      <c r="D68" s="260"/>
      <c r="E68" s="260" t="s">
        <v>396</v>
      </c>
      <c r="F68" s="260"/>
      <c r="G68" s="392">
        <v>17</v>
      </c>
      <c r="H68" s="260"/>
      <c r="I68" s="262">
        <f>ROUND(A$67*B68,0)</f>
        <v>7337603</v>
      </c>
      <c r="J68" s="87"/>
      <c r="K68" s="396">
        <f t="shared" si="37"/>
        <v>3497102</v>
      </c>
      <c r="L68" s="260"/>
      <c r="M68" s="396">
        <f t="shared" si="38"/>
        <v>1929056</v>
      </c>
      <c r="N68" s="396"/>
      <c r="O68" s="396">
        <f t="shared" si="39"/>
        <v>523171</v>
      </c>
      <c r="P68" s="396"/>
      <c r="Q68" s="396">
        <f t="shared" si="40"/>
        <v>514366</v>
      </c>
      <c r="R68" s="396"/>
      <c r="S68" s="262">
        <f t="shared" si="41"/>
        <v>656715</v>
      </c>
      <c r="T68" s="262"/>
      <c r="U68" s="262">
        <f t="shared" si="42"/>
        <v>217193</v>
      </c>
      <c r="V68" s="260"/>
      <c r="W68" s="396">
        <f t="shared" si="43"/>
        <v>0</v>
      </c>
      <c r="X68" s="396"/>
      <c r="Y68" s="396"/>
      <c r="Z68" s="262"/>
      <c r="AA68" s="262"/>
      <c r="AB68" s="262"/>
      <c r="AC68" s="262"/>
      <c r="AD68" s="260"/>
      <c r="AE68" s="262"/>
      <c r="AF68" s="260"/>
      <c r="AG68" s="262"/>
      <c r="AH68" s="396"/>
      <c r="AI68" s="286">
        <f t="shared" si="36"/>
        <v>0</v>
      </c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  <c r="CS68" s="260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0"/>
      <c r="DT68" s="260"/>
      <c r="DU68" s="260"/>
      <c r="DV68" s="260"/>
      <c r="DW68" s="260"/>
      <c r="DX68" s="260"/>
      <c r="DY68" s="260"/>
      <c r="DZ68" s="260"/>
      <c r="EA68" s="260"/>
      <c r="EB68" s="260"/>
      <c r="EC68" s="260"/>
      <c r="ED68" s="260"/>
      <c r="EE68" s="260"/>
      <c r="EF68" s="260"/>
      <c r="EG68" s="260"/>
      <c r="EH68" s="260"/>
      <c r="EI68" s="260"/>
      <c r="EJ68" s="260"/>
      <c r="EK68" s="260"/>
      <c r="EL68" s="260"/>
      <c r="EM68" s="260"/>
      <c r="EN68" s="260"/>
      <c r="EO68" s="260"/>
      <c r="EP68" s="260"/>
      <c r="EQ68" s="260"/>
      <c r="ER68" s="260"/>
      <c r="ES68" s="260"/>
      <c r="ET68" s="260"/>
      <c r="EU68" s="260"/>
      <c r="EV68" s="260"/>
      <c r="EW68" s="260"/>
      <c r="EX68" s="260"/>
      <c r="EY68" s="260"/>
      <c r="EZ68" s="260"/>
      <c r="FA68" s="260"/>
      <c r="FB68" s="260"/>
      <c r="FC68" s="260"/>
      <c r="FD68" s="260"/>
      <c r="FE68" s="260"/>
      <c r="FF68" s="260"/>
      <c r="FG68" s="260"/>
      <c r="FH68" s="260"/>
      <c r="FI68" s="260"/>
      <c r="FJ68" s="260"/>
      <c r="FK68" s="260"/>
      <c r="FL68" s="260"/>
      <c r="FM68" s="260"/>
      <c r="FN68" s="260"/>
      <c r="FO68" s="260"/>
      <c r="FP68" s="260"/>
      <c r="FQ68" s="260"/>
      <c r="FR68" s="260"/>
      <c r="FS68" s="260"/>
      <c r="FT68" s="260"/>
      <c r="FU68" s="260"/>
      <c r="FV68" s="260"/>
      <c r="FW68" s="260"/>
      <c r="FX68" s="260"/>
      <c r="FY68" s="260"/>
      <c r="FZ68" s="260"/>
      <c r="GA68" s="260"/>
      <c r="GB68" s="260"/>
      <c r="GC68" s="260"/>
      <c r="GD68" s="260"/>
      <c r="GE68" s="260"/>
      <c r="GF68" s="260"/>
      <c r="GG68" s="260"/>
      <c r="GH68" s="260"/>
      <c r="GI68" s="260"/>
      <c r="GJ68" s="260"/>
      <c r="GK68" s="260"/>
      <c r="GL68" s="260"/>
      <c r="GM68" s="260"/>
      <c r="GN68" s="260"/>
      <c r="GO68" s="260"/>
      <c r="GP68" s="260"/>
      <c r="GQ68" s="260"/>
      <c r="GR68" s="260"/>
      <c r="GS68" s="260"/>
      <c r="GT68" s="260"/>
      <c r="GU68" s="260"/>
      <c r="GV68" s="260"/>
      <c r="GW68" s="260"/>
      <c r="GX68" s="260"/>
      <c r="GY68" s="260"/>
      <c r="GZ68" s="260"/>
      <c r="HA68" s="260"/>
      <c r="HB68" s="260"/>
      <c r="HC68" s="260"/>
      <c r="HD68" s="260"/>
      <c r="HE68" s="260"/>
      <c r="HF68" s="260"/>
      <c r="HG68" s="260"/>
      <c r="HH68" s="260"/>
      <c r="HI68" s="260"/>
      <c r="HJ68" s="260"/>
      <c r="HK68" s="260"/>
      <c r="HL68" s="260"/>
      <c r="HM68" s="260"/>
      <c r="HN68" s="260"/>
      <c r="HO68" s="260"/>
      <c r="HP68" s="260"/>
      <c r="HQ68" s="260"/>
      <c r="HR68" s="260"/>
      <c r="HS68" s="260"/>
      <c r="HT68" s="260"/>
      <c r="HU68" s="260"/>
      <c r="HV68" s="260"/>
      <c r="HW68" s="260"/>
      <c r="HX68" s="260"/>
      <c r="HY68" s="260"/>
      <c r="HZ68" s="260"/>
      <c r="IA68" s="260"/>
      <c r="IB68" s="260"/>
      <c r="IC68" s="260"/>
      <c r="ID68" s="260"/>
      <c r="IE68" s="260"/>
      <c r="IF68" s="260"/>
      <c r="IG68" s="260"/>
      <c r="IH68" s="260"/>
      <c r="II68" s="260"/>
      <c r="IJ68" s="260"/>
      <c r="IK68" s="260"/>
      <c r="IL68" s="260"/>
      <c r="IM68" s="260"/>
      <c r="IN68" s="260"/>
      <c r="IO68" s="260"/>
      <c r="IP68" s="260"/>
      <c r="IQ68" s="260"/>
      <c r="IR68" s="260"/>
      <c r="IS68" s="260"/>
      <c r="IT68" s="260"/>
      <c r="IU68" s="260"/>
      <c r="IV68" s="260"/>
      <c r="IW68" s="260"/>
      <c r="IX68" s="260"/>
      <c r="IY68" s="260"/>
      <c r="IZ68" s="260"/>
      <c r="JA68" s="260"/>
      <c r="JB68" s="260"/>
      <c r="JC68" s="260"/>
      <c r="JD68" s="260"/>
      <c r="JE68" s="260"/>
      <c r="JF68" s="260"/>
      <c r="JG68" s="260"/>
      <c r="JH68" s="260"/>
      <c r="JI68" s="260"/>
      <c r="JJ68" s="260"/>
      <c r="JK68" s="260"/>
      <c r="JL68" s="260"/>
      <c r="JM68" s="260"/>
      <c r="JN68" s="260"/>
      <c r="JO68" s="260"/>
      <c r="JP68" s="260"/>
      <c r="JQ68" s="260"/>
      <c r="JR68" s="260"/>
      <c r="JS68" s="260"/>
      <c r="JT68" s="260"/>
      <c r="JU68" s="260"/>
      <c r="JV68" s="260"/>
      <c r="JW68" s="260"/>
      <c r="JX68" s="260"/>
      <c r="JY68" s="260"/>
      <c r="JZ68" s="260"/>
      <c r="KA68" s="260"/>
      <c r="KB68" s="260"/>
      <c r="KC68" s="260"/>
      <c r="KD68" s="260"/>
      <c r="KE68" s="260"/>
      <c r="KF68" s="260"/>
      <c r="KG68" s="260"/>
      <c r="KH68" s="260"/>
      <c r="KI68" s="260"/>
      <c r="KJ68" s="260"/>
      <c r="KK68" s="260"/>
      <c r="KL68" s="260"/>
      <c r="KM68" s="260"/>
      <c r="KN68" s="260"/>
      <c r="KO68" s="260"/>
      <c r="KP68" s="260"/>
      <c r="KQ68" s="260"/>
      <c r="KR68" s="260"/>
      <c r="KS68" s="260"/>
      <c r="KT68" s="260"/>
      <c r="KU68" s="260"/>
      <c r="KV68" s="260"/>
      <c r="KW68" s="260"/>
      <c r="KX68" s="260"/>
      <c r="KY68" s="260"/>
      <c r="KZ68" s="260"/>
      <c r="LA68" s="260"/>
      <c r="LB68" s="260"/>
      <c r="LC68" s="260"/>
      <c r="LD68" s="260"/>
      <c r="LE68" s="260"/>
      <c r="LF68" s="260"/>
      <c r="LG68" s="260"/>
      <c r="LH68" s="260"/>
      <c r="LI68" s="260"/>
      <c r="LJ68" s="260"/>
      <c r="LK68" s="260"/>
      <c r="LL68" s="260"/>
      <c r="LM68" s="260"/>
      <c r="LN68" s="260"/>
      <c r="LO68" s="260"/>
      <c r="LP68" s="260"/>
      <c r="LQ68" s="260"/>
      <c r="LR68" s="260"/>
      <c r="LS68" s="260"/>
      <c r="LT68" s="260"/>
      <c r="LU68" s="260"/>
      <c r="LV68" s="260"/>
      <c r="LW68" s="260"/>
      <c r="LX68" s="260"/>
      <c r="LY68" s="260"/>
      <c r="LZ68" s="260"/>
      <c r="MA68" s="260"/>
      <c r="MB68" s="260"/>
      <c r="MC68" s="260"/>
      <c r="MD68" s="260"/>
      <c r="ME68" s="260"/>
      <c r="MF68" s="260"/>
      <c r="MG68" s="260"/>
      <c r="MH68" s="260"/>
      <c r="MI68" s="260"/>
      <c r="MJ68" s="260"/>
      <c r="MK68" s="260"/>
      <c r="ML68" s="260"/>
      <c r="MM68" s="260"/>
      <c r="MN68" s="260"/>
      <c r="MO68" s="260"/>
      <c r="MP68" s="260"/>
      <c r="MQ68" s="260"/>
      <c r="MR68" s="260"/>
      <c r="MS68" s="260"/>
      <c r="MT68" s="260"/>
      <c r="MU68" s="260"/>
      <c r="MV68" s="260"/>
      <c r="MW68" s="260"/>
      <c r="MX68" s="260"/>
      <c r="MY68" s="260"/>
      <c r="MZ68" s="260"/>
      <c r="NA68" s="260"/>
      <c r="NB68" s="260"/>
      <c r="NC68" s="260"/>
      <c r="ND68" s="260"/>
      <c r="NE68" s="260"/>
      <c r="NF68" s="260"/>
      <c r="NG68" s="260"/>
      <c r="NH68" s="260"/>
      <c r="NI68" s="260"/>
      <c r="NJ68" s="260"/>
      <c r="NK68" s="260"/>
      <c r="NL68" s="260"/>
      <c r="NM68" s="260"/>
      <c r="NN68" s="260"/>
      <c r="NO68" s="260"/>
      <c r="NP68" s="260"/>
      <c r="NQ68" s="260"/>
      <c r="NR68" s="260"/>
      <c r="NS68" s="260"/>
      <c r="NT68" s="260"/>
      <c r="NU68" s="260"/>
      <c r="NV68" s="260"/>
      <c r="NW68" s="260"/>
      <c r="NX68" s="260"/>
      <c r="NY68" s="260"/>
      <c r="NZ68" s="260"/>
      <c r="OA68" s="260"/>
      <c r="OB68" s="260"/>
      <c r="OC68" s="260"/>
      <c r="OD68" s="260"/>
      <c r="OE68" s="260"/>
      <c r="OF68" s="260"/>
      <c r="OG68" s="260"/>
      <c r="OH68" s="260"/>
      <c r="OI68" s="260"/>
      <c r="OJ68" s="260"/>
      <c r="OK68" s="260"/>
      <c r="OL68" s="260"/>
      <c r="OM68" s="260"/>
      <c r="ON68" s="260"/>
      <c r="OO68" s="260"/>
      <c r="OP68" s="260"/>
      <c r="OQ68" s="260"/>
      <c r="OR68" s="260"/>
      <c r="OS68" s="260"/>
      <c r="OT68" s="260"/>
      <c r="OU68" s="260"/>
      <c r="OV68" s="260"/>
      <c r="OW68" s="260"/>
      <c r="OX68" s="260"/>
      <c r="OY68" s="260"/>
      <c r="OZ68" s="260"/>
      <c r="PA68" s="260"/>
      <c r="PB68" s="260"/>
      <c r="PC68" s="260"/>
      <c r="PD68" s="260"/>
      <c r="PE68" s="260"/>
      <c r="PF68" s="260"/>
      <c r="PG68" s="260"/>
      <c r="PH68" s="260"/>
      <c r="PI68" s="260"/>
      <c r="PJ68" s="260"/>
      <c r="PK68" s="260"/>
      <c r="PL68" s="260"/>
      <c r="PM68" s="260"/>
      <c r="PN68" s="260"/>
      <c r="PO68" s="260"/>
      <c r="PP68" s="260"/>
      <c r="PQ68" s="260"/>
      <c r="PR68" s="260"/>
      <c r="PS68" s="260"/>
      <c r="PT68" s="260"/>
      <c r="PU68" s="260"/>
      <c r="PV68" s="260"/>
      <c r="PW68" s="260"/>
      <c r="PX68" s="260"/>
      <c r="PY68" s="260"/>
      <c r="PZ68" s="260"/>
      <c r="QA68" s="260"/>
      <c r="QB68" s="260"/>
      <c r="QC68" s="260"/>
      <c r="QD68" s="260"/>
      <c r="QE68" s="260"/>
      <c r="QF68" s="260"/>
      <c r="QG68" s="260"/>
      <c r="QH68" s="260"/>
      <c r="QI68" s="260"/>
      <c r="QJ68" s="260"/>
      <c r="QK68" s="260"/>
      <c r="QL68" s="260"/>
      <c r="QM68" s="260"/>
      <c r="QN68" s="260"/>
      <c r="QO68" s="260"/>
      <c r="QP68" s="260"/>
      <c r="QQ68" s="260"/>
    </row>
    <row r="69" spans="1:459" s="272" customFormat="1">
      <c r="A69" s="435">
        <v>10235357.936436124</v>
      </c>
      <c r="B69" s="525">
        <f>+A69/A66</f>
        <v>0.47487971540858287</v>
      </c>
      <c r="C69" s="392" t="s">
        <v>217</v>
      </c>
      <c r="D69" s="260"/>
      <c r="E69" s="260" t="s">
        <v>303</v>
      </c>
      <c r="F69" s="260"/>
      <c r="G69" s="392" t="s">
        <v>398</v>
      </c>
      <c r="H69" s="260"/>
      <c r="I69" s="262">
        <f>+A69</f>
        <v>10235357.936436124</v>
      </c>
      <c r="J69" s="87"/>
      <c r="K69" s="396">
        <f t="shared" si="37"/>
        <v>0</v>
      </c>
      <c r="L69" s="260"/>
      <c r="M69" s="396">
        <f t="shared" si="38"/>
        <v>0</v>
      </c>
      <c r="N69" s="396"/>
      <c r="O69" s="396">
        <f t="shared" si="39"/>
        <v>0</v>
      </c>
      <c r="P69" s="396"/>
      <c r="Q69" s="396">
        <f t="shared" si="40"/>
        <v>0</v>
      </c>
      <c r="R69" s="396"/>
      <c r="S69" s="262">
        <f t="shared" si="41"/>
        <v>0</v>
      </c>
      <c r="T69" s="262"/>
      <c r="U69" s="262">
        <f t="shared" si="42"/>
        <v>0</v>
      </c>
      <c r="V69" s="260"/>
      <c r="W69" s="396">
        <f t="shared" si="43"/>
        <v>8921138</v>
      </c>
      <c r="X69" s="396"/>
      <c r="Y69" s="396">
        <f t="shared" ref="Y69:Y76" si="44">ROUND(VLOOKUP($G69,factors,+Y$376)*$I69,0)</f>
        <v>1191396</v>
      </c>
      <c r="Z69" s="262"/>
      <c r="AA69" s="262">
        <f t="shared" ref="AA69:AA76" si="45">ROUND(VLOOKUP($G69,factors,+AA$376)*$I69,0)</f>
        <v>50153</v>
      </c>
      <c r="AB69" s="262"/>
      <c r="AC69" s="262">
        <f t="shared" ref="AC69:AC76" si="46">ROUND(VLOOKUP($G69,factors,+AC$376)*$I69,0)</f>
        <v>53224</v>
      </c>
      <c r="AD69" s="260"/>
      <c r="AE69" s="262">
        <f t="shared" ref="AE69:AE76" si="47">ROUND(VLOOKUP($G69,factors,+AE$376)*$I69,0)</f>
        <v>4094</v>
      </c>
      <c r="AF69" s="260"/>
      <c r="AG69" s="262">
        <f t="shared" ref="AG69:AG76" si="48">ROUND(VLOOKUP($G69,factors,+AG$376)*$I69,0)</f>
        <v>15353</v>
      </c>
      <c r="AH69" s="396"/>
      <c r="AI69" s="286">
        <f t="shared" si="36"/>
        <v>6.356387585401535E-2</v>
      </c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260"/>
      <c r="DU69" s="260"/>
      <c r="DV69" s="260"/>
      <c r="DW69" s="260"/>
      <c r="DX69" s="260"/>
      <c r="DY69" s="260"/>
      <c r="DZ69" s="260"/>
      <c r="EA69" s="260"/>
      <c r="EB69" s="260"/>
      <c r="EC69" s="260"/>
      <c r="ED69" s="260"/>
      <c r="EE69" s="260"/>
      <c r="EF69" s="260"/>
      <c r="EG69" s="260"/>
      <c r="EH69" s="260"/>
      <c r="EI69" s="260"/>
      <c r="EJ69" s="260"/>
      <c r="EK69" s="260"/>
      <c r="EL69" s="260"/>
      <c r="EM69" s="260"/>
      <c r="EN69" s="260"/>
      <c r="EO69" s="260"/>
      <c r="EP69" s="260"/>
      <c r="EQ69" s="260"/>
      <c r="ER69" s="260"/>
      <c r="ES69" s="260"/>
      <c r="ET69" s="260"/>
      <c r="EU69" s="260"/>
      <c r="EV69" s="260"/>
      <c r="EW69" s="260"/>
      <c r="EX69" s="260"/>
      <c r="EY69" s="260"/>
      <c r="EZ69" s="260"/>
      <c r="FA69" s="260"/>
      <c r="FB69" s="260"/>
      <c r="FC69" s="260"/>
      <c r="FD69" s="260"/>
      <c r="FE69" s="260"/>
      <c r="FF69" s="260"/>
      <c r="FG69" s="260"/>
      <c r="FH69" s="260"/>
      <c r="FI69" s="260"/>
      <c r="FJ69" s="260"/>
      <c r="FK69" s="260"/>
      <c r="FL69" s="260"/>
      <c r="FM69" s="260"/>
      <c r="FN69" s="260"/>
      <c r="FO69" s="260"/>
      <c r="FP69" s="260"/>
      <c r="FQ69" s="260"/>
      <c r="FR69" s="260"/>
      <c r="FS69" s="260"/>
      <c r="FT69" s="260"/>
      <c r="FU69" s="260"/>
      <c r="FV69" s="260"/>
      <c r="FW69" s="260"/>
      <c r="FX69" s="260"/>
      <c r="FY69" s="260"/>
      <c r="FZ69" s="260"/>
      <c r="GA69" s="260"/>
      <c r="GB69" s="260"/>
      <c r="GC69" s="260"/>
      <c r="GD69" s="260"/>
      <c r="GE69" s="260"/>
      <c r="GF69" s="260"/>
      <c r="GG69" s="260"/>
      <c r="GH69" s="260"/>
      <c r="GI69" s="260"/>
      <c r="GJ69" s="260"/>
      <c r="GK69" s="260"/>
      <c r="GL69" s="260"/>
      <c r="GM69" s="260"/>
      <c r="GN69" s="260"/>
      <c r="GO69" s="260"/>
      <c r="GP69" s="260"/>
      <c r="GQ69" s="260"/>
      <c r="GR69" s="260"/>
      <c r="GS69" s="260"/>
      <c r="GT69" s="260"/>
      <c r="GU69" s="260"/>
      <c r="GV69" s="260"/>
      <c r="GW69" s="260"/>
      <c r="GX69" s="260"/>
      <c r="GY69" s="260"/>
      <c r="GZ69" s="260"/>
      <c r="HA69" s="260"/>
      <c r="HB69" s="260"/>
      <c r="HC69" s="260"/>
      <c r="HD69" s="260"/>
      <c r="HE69" s="260"/>
      <c r="HF69" s="260"/>
      <c r="HG69" s="260"/>
      <c r="HH69" s="260"/>
      <c r="HI69" s="260"/>
      <c r="HJ69" s="260"/>
      <c r="HK69" s="260"/>
      <c r="HL69" s="260"/>
      <c r="HM69" s="260"/>
      <c r="HN69" s="260"/>
      <c r="HO69" s="260"/>
      <c r="HP69" s="260"/>
      <c r="HQ69" s="260"/>
      <c r="HR69" s="260"/>
      <c r="HS69" s="260"/>
      <c r="HT69" s="260"/>
      <c r="HU69" s="260"/>
      <c r="HV69" s="260"/>
      <c r="HW69" s="260"/>
      <c r="HX69" s="260"/>
      <c r="HY69" s="260"/>
      <c r="HZ69" s="260"/>
      <c r="IA69" s="260"/>
      <c r="IB69" s="260"/>
      <c r="IC69" s="260"/>
      <c r="ID69" s="260"/>
      <c r="IE69" s="260"/>
      <c r="IF69" s="260"/>
      <c r="IG69" s="260"/>
      <c r="IH69" s="260"/>
      <c r="II69" s="260"/>
      <c r="IJ69" s="260"/>
      <c r="IK69" s="260"/>
      <c r="IL69" s="260"/>
      <c r="IM69" s="260"/>
      <c r="IN69" s="260"/>
      <c r="IO69" s="260"/>
      <c r="IP69" s="260"/>
      <c r="IQ69" s="260"/>
      <c r="IR69" s="260"/>
      <c r="IS69" s="260"/>
      <c r="IT69" s="260"/>
      <c r="IU69" s="260"/>
      <c r="IV69" s="260"/>
      <c r="IW69" s="260"/>
      <c r="IX69" s="260"/>
      <c r="IY69" s="260"/>
      <c r="IZ69" s="260"/>
      <c r="JA69" s="260"/>
      <c r="JB69" s="260"/>
      <c r="JC69" s="260"/>
      <c r="JD69" s="260"/>
      <c r="JE69" s="260"/>
      <c r="JF69" s="260"/>
      <c r="JG69" s="260"/>
      <c r="JH69" s="260"/>
      <c r="JI69" s="260"/>
      <c r="JJ69" s="260"/>
      <c r="JK69" s="260"/>
      <c r="JL69" s="260"/>
      <c r="JM69" s="260"/>
      <c r="JN69" s="260"/>
      <c r="JO69" s="260"/>
      <c r="JP69" s="260"/>
      <c r="JQ69" s="260"/>
      <c r="JR69" s="260"/>
      <c r="JS69" s="260"/>
      <c r="JT69" s="260"/>
      <c r="JU69" s="260"/>
      <c r="JV69" s="260"/>
      <c r="JW69" s="260"/>
      <c r="JX69" s="260"/>
      <c r="JY69" s="260"/>
      <c r="JZ69" s="260"/>
      <c r="KA69" s="260"/>
      <c r="KB69" s="260"/>
      <c r="KC69" s="260"/>
      <c r="KD69" s="260"/>
      <c r="KE69" s="260"/>
      <c r="KF69" s="260"/>
      <c r="KG69" s="260"/>
      <c r="KH69" s="260"/>
      <c r="KI69" s="260"/>
      <c r="KJ69" s="260"/>
      <c r="KK69" s="260"/>
      <c r="KL69" s="260"/>
      <c r="KM69" s="260"/>
      <c r="KN69" s="260"/>
      <c r="KO69" s="260"/>
      <c r="KP69" s="260"/>
      <c r="KQ69" s="260"/>
      <c r="KR69" s="260"/>
      <c r="KS69" s="260"/>
      <c r="KT69" s="260"/>
      <c r="KU69" s="260"/>
      <c r="KV69" s="260"/>
      <c r="KW69" s="260"/>
      <c r="KX69" s="260"/>
      <c r="KY69" s="260"/>
      <c r="KZ69" s="260"/>
      <c r="LA69" s="260"/>
      <c r="LB69" s="260"/>
      <c r="LC69" s="260"/>
      <c r="LD69" s="260"/>
      <c r="LE69" s="260"/>
      <c r="LF69" s="260"/>
      <c r="LG69" s="260"/>
      <c r="LH69" s="260"/>
      <c r="LI69" s="260"/>
      <c r="LJ69" s="260"/>
      <c r="LK69" s="260"/>
      <c r="LL69" s="260"/>
      <c r="LM69" s="260"/>
      <c r="LN69" s="260"/>
      <c r="LO69" s="260"/>
      <c r="LP69" s="260"/>
      <c r="LQ69" s="260"/>
      <c r="LR69" s="260"/>
      <c r="LS69" s="260"/>
      <c r="LT69" s="260"/>
      <c r="LU69" s="260"/>
      <c r="LV69" s="260"/>
      <c r="LW69" s="260"/>
      <c r="LX69" s="260"/>
      <c r="LY69" s="260"/>
      <c r="LZ69" s="260"/>
      <c r="MA69" s="260"/>
      <c r="MB69" s="260"/>
      <c r="MC69" s="260"/>
      <c r="MD69" s="260"/>
      <c r="ME69" s="260"/>
      <c r="MF69" s="260"/>
      <c r="MG69" s="260"/>
      <c r="MH69" s="260"/>
      <c r="MI69" s="260"/>
      <c r="MJ69" s="260"/>
      <c r="MK69" s="260"/>
      <c r="ML69" s="260"/>
      <c r="MM69" s="260"/>
      <c r="MN69" s="260"/>
      <c r="MO69" s="260"/>
      <c r="MP69" s="260"/>
      <c r="MQ69" s="260"/>
      <c r="MR69" s="260"/>
      <c r="MS69" s="260"/>
      <c r="MT69" s="260"/>
      <c r="MU69" s="260"/>
      <c r="MV69" s="260"/>
      <c r="MW69" s="260"/>
      <c r="MX69" s="260"/>
      <c r="MY69" s="260"/>
      <c r="MZ69" s="260"/>
      <c r="NA69" s="260"/>
      <c r="NB69" s="260"/>
      <c r="NC69" s="260"/>
      <c r="ND69" s="260"/>
      <c r="NE69" s="260"/>
      <c r="NF69" s="260"/>
      <c r="NG69" s="260"/>
      <c r="NH69" s="260"/>
      <c r="NI69" s="260"/>
      <c r="NJ69" s="260"/>
      <c r="NK69" s="260"/>
      <c r="NL69" s="260"/>
      <c r="NM69" s="260"/>
      <c r="NN69" s="260"/>
      <c r="NO69" s="260"/>
      <c r="NP69" s="260"/>
      <c r="NQ69" s="260"/>
      <c r="NR69" s="260"/>
      <c r="NS69" s="260"/>
      <c r="NT69" s="260"/>
      <c r="NU69" s="260"/>
      <c r="NV69" s="260"/>
      <c r="NW69" s="260"/>
      <c r="NX69" s="260"/>
      <c r="NY69" s="260"/>
      <c r="NZ69" s="260"/>
      <c r="OA69" s="260"/>
      <c r="OB69" s="260"/>
      <c r="OC69" s="260"/>
      <c r="OD69" s="260"/>
      <c r="OE69" s="260"/>
      <c r="OF69" s="260"/>
      <c r="OG69" s="260"/>
      <c r="OH69" s="260"/>
      <c r="OI69" s="260"/>
      <c r="OJ69" s="260"/>
      <c r="OK69" s="260"/>
      <c r="OL69" s="260"/>
      <c r="OM69" s="260"/>
      <c r="ON69" s="260"/>
      <c r="OO69" s="260"/>
      <c r="OP69" s="260"/>
      <c r="OQ69" s="260"/>
      <c r="OR69" s="260"/>
      <c r="OS69" s="260"/>
      <c r="OT69" s="260"/>
      <c r="OU69" s="260"/>
      <c r="OV69" s="260"/>
      <c r="OW69" s="260"/>
      <c r="OX69" s="260"/>
      <c r="OY69" s="260"/>
      <c r="OZ69" s="260"/>
      <c r="PA69" s="260"/>
      <c r="PB69" s="260"/>
      <c r="PC69" s="260"/>
      <c r="PD69" s="260"/>
      <c r="PE69" s="260"/>
      <c r="PF69" s="260"/>
      <c r="PG69" s="260"/>
      <c r="PH69" s="260"/>
      <c r="PI69" s="260"/>
      <c r="PJ69" s="260"/>
      <c r="PK69" s="260"/>
      <c r="PL69" s="260"/>
      <c r="PM69" s="260"/>
      <c r="PN69" s="260"/>
      <c r="PO69" s="260"/>
      <c r="PP69" s="260"/>
      <c r="PQ69" s="260"/>
      <c r="PR69" s="260"/>
      <c r="PS69" s="260"/>
      <c r="PT69" s="260"/>
      <c r="PU69" s="260"/>
      <c r="PV69" s="260"/>
      <c r="PW69" s="260"/>
      <c r="PX69" s="260"/>
      <c r="PY69" s="260"/>
      <c r="PZ69" s="260"/>
      <c r="QA69" s="260"/>
      <c r="QB69" s="260"/>
      <c r="QC69" s="260"/>
      <c r="QD69" s="260"/>
      <c r="QE69" s="260"/>
      <c r="QF69" s="260"/>
      <c r="QG69" s="260"/>
      <c r="QH69" s="260"/>
      <c r="QI69" s="260"/>
      <c r="QJ69" s="260"/>
      <c r="QK69" s="260"/>
      <c r="QL69" s="260"/>
      <c r="QM69" s="260"/>
      <c r="QN69" s="260"/>
      <c r="QO69" s="260"/>
      <c r="QP69" s="260"/>
      <c r="QQ69" s="260"/>
    </row>
    <row r="70" spans="1:459">
      <c r="A70" s="222"/>
      <c r="B70" s="222"/>
      <c r="C70" s="159">
        <v>875</v>
      </c>
      <c r="E70" s="260" t="s">
        <v>112</v>
      </c>
      <c r="F70" s="260"/>
      <c r="G70" s="392" t="s">
        <v>459</v>
      </c>
      <c r="H70" s="260"/>
      <c r="I70" s="262">
        <f>+Linkin!H55</f>
        <v>2012199</v>
      </c>
      <c r="K70" s="156">
        <f t="shared" si="37"/>
        <v>649940</v>
      </c>
      <c r="M70" s="156">
        <f t="shared" si="38"/>
        <v>359178</v>
      </c>
      <c r="N70" s="156"/>
      <c r="O70" s="156">
        <f t="shared" si="39"/>
        <v>98195</v>
      </c>
      <c r="P70" s="156"/>
      <c r="Q70" s="156">
        <f t="shared" si="40"/>
        <v>99201</v>
      </c>
      <c r="R70" s="156"/>
      <c r="S70" s="155">
        <f t="shared" si="41"/>
        <v>646318</v>
      </c>
      <c r="T70" s="155"/>
      <c r="U70" s="155">
        <f t="shared" si="42"/>
        <v>159366</v>
      </c>
      <c r="W70" s="156">
        <f t="shared" si="43"/>
        <v>0</v>
      </c>
      <c r="X70" s="156"/>
      <c r="Y70" s="156">
        <f t="shared" si="44"/>
        <v>0</v>
      </c>
      <c r="Z70" s="155"/>
      <c r="AA70" s="155">
        <f t="shared" si="45"/>
        <v>0</v>
      </c>
      <c r="AB70" s="155"/>
      <c r="AC70" s="155">
        <f t="shared" si="46"/>
        <v>0</v>
      </c>
      <c r="AE70" s="155">
        <f t="shared" si="47"/>
        <v>0</v>
      </c>
      <c r="AG70" s="155">
        <f t="shared" si="48"/>
        <v>0</v>
      </c>
      <c r="AH70" s="156"/>
      <c r="AI70" s="157">
        <f t="shared" si="36"/>
        <v>-1</v>
      </c>
    </row>
    <row r="71" spans="1:459" s="47" customFormat="1">
      <c r="A71" s="149"/>
      <c r="B71" s="149"/>
      <c r="C71" s="159">
        <v>876</v>
      </c>
      <c r="D71" s="149"/>
      <c r="E71" s="222" t="s">
        <v>282</v>
      </c>
      <c r="F71" s="222"/>
      <c r="G71" s="261" t="s">
        <v>326</v>
      </c>
      <c r="H71" s="222"/>
      <c r="I71" s="262">
        <f>+Linkin!H56</f>
        <v>567878</v>
      </c>
      <c r="J71" s="149"/>
      <c r="K71" s="156">
        <f t="shared" si="37"/>
        <v>0</v>
      </c>
      <c r="L71" s="149"/>
      <c r="M71" s="156">
        <f t="shared" si="38"/>
        <v>0</v>
      </c>
      <c r="N71" s="156"/>
      <c r="O71" s="156">
        <f t="shared" si="39"/>
        <v>0</v>
      </c>
      <c r="P71" s="156"/>
      <c r="Q71" s="156">
        <f t="shared" si="40"/>
        <v>0</v>
      </c>
      <c r="R71" s="156"/>
      <c r="S71" s="155">
        <f t="shared" si="41"/>
        <v>0</v>
      </c>
      <c r="T71" s="155"/>
      <c r="U71" s="155">
        <f t="shared" si="42"/>
        <v>0</v>
      </c>
      <c r="V71" s="149"/>
      <c r="W71" s="156">
        <f t="shared" si="43"/>
        <v>0</v>
      </c>
      <c r="X71" s="156"/>
      <c r="Y71" s="156">
        <f t="shared" si="44"/>
        <v>0</v>
      </c>
      <c r="Z71" s="155"/>
      <c r="AA71" s="155">
        <f t="shared" si="45"/>
        <v>268266</v>
      </c>
      <c r="AB71" s="155"/>
      <c r="AC71" s="155">
        <f t="shared" si="46"/>
        <v>164174</v>
      </c>
      <c r="AD71" s="149"/>
      <c r="AE71" s="155">
        <f t="shared" si="47"/>
        <v>33902</v>
      </c>
      <c r="AF71" s="149"/>
      <c r="AG71" s="155">
        <f t="shared" si="48"/>
        <v>101537</v>
      </c>
      <c r="AH71" s="156"/>
      <c r="AI71" s="157">
        <f t="shared" si="36"/>
        <v>1</v>
      </c>
      <c r="AJ71" s="149"/>
      <c r="AK71" s="149"/>
    </row>
    <row r="72" spans="1:459" s="47" customFormat="1">
      <c r="A72" s="149"/>
      <c r="B72" s="149"/>
      <c r="C72" s="159">
        <v>877</v>
      </c>
      <c r="D72" s="149"/>
      <c r="E72" s="222" t="s">
        <v>113</v>
      </c>
      <c r="F72" s="222"/>
      <c r="G72" s="392" t="s">
        <v>459</v>
      </c>
      <c r="H72" s="222"/>
      <c r="I72" s="262">
        <f>+Linkin!H57</f>
        <v>1252600</v>
      </c>
      <c r="J72" s="149"/>
      <c r="K72" s="156">
        <f t="shared" si="37"/>
        <v>404590</v>
      </c>
      <c r="L72" s="149"/>
      <c r="M72" s="156">
        <f t="shared" si="38"/>
        <v>223589</v>
      </c>
      <c r="N72" s="156"/>
      <c r="O72" s="156">
        <f t="shared" si="39"/>
        <v>61127</v>
      </c>
      <c r="P72" s="156"/>
      <c r="Q72" s="156">
        <f t="shared" si="40"/>
        <v>61753</v>
      </c>
      <c r="R72" s="156"/>
      <c r="S72" s="155">
        <f t="shared" si="41"/>
        <v>402335</v>
      </c>
      <c r="T72" s="155"/>
      <c r="U72" s="155">
        <f t="shared" si="42"/>
        <v>99206</v>
      </c>
      <c r="V72" s="149"/>
      <c r="W72" s="156">
        <f t="shared" si="43"/>
        <v>0</v>
      </c>
      <c r="X72" s="156"/>
      <c r="Y72" s="156">
        <f t="shared" si="44"/>
        <v>0</v>
      </c>
      <c r="Z72" s="155"/>
      <c r="AA72" s="155">
        <f t="shared" si="45"/>
        <v>0</v>
      </c>
      <c r="AB72" s="155"/>
      <c r="AC72" s="155">
        <f t="shared" si="46"/>
        <v>0</v>
      </c>
      <c r="AD72" s="149"/>
      <c r="AE72" s="155">
        <f t="shared" si="47"/>
        <v>0</v>
      </c>
      <c r="AF72" s="149"/>
      <c r="AG72" s="155">
        <f t="shared" si="48"/>
        <v>0</v>
      </c>
      <c r="AH72" s="156"/>
      <c r="AI72" s="157">
        <f t="shared" si="36"/>
        <v>0</v>
      </c>
      <c r="AJ72" s="149"/>
      <c r="AK72" s="149"/>
    </row>
    <row r="73" spans="1:459">
      <c r="C73" s="159">
        <v>878</v>
      </c>
      <c r="E73" s="101" t="s">
        <v>63</v>
      </c>
      <c r="F73" s="222"/>
      <c r="G73" s="261">
        <v>6</v>
      </c>
      <c r="H73" s="222"/>
      <c r="I73" s="262">
        <f>+Linkin!H58</f>
        <v>4604244</v>
      </c>
      <c r="K73" s="155">
        <f t="shared" si="37"/>
        <v>0</v>
      </c>
      <c r="M73" s="155">
        <f t="shared" si="38"/>
        <v>0</v>
      </c>
      <c r="N73" s="156"/>
      <c r="O73" s="155">
        <f t="shared" si="39"/>
        <v>0</v>
      </c>
      <c r="P73" s="155"/>
      <c r="Q73" s="155">
        <f t="shared" si="40"/>
        <v>0</v>
      </c>
      <c r="R73" s="156"/>
      <c r="S73" s="155">
        <f t="shared" si="41"/>
        <v>0</v>
      </c>
      <c r="T73" s="155"/>
      <c r="U73" s="155">
        <f t="shared" si="42"/>
        <v>0</v>
      </c>
      <c r="W73" s="155">
        <f t="shared" si="43"/>
        <v>2018961</v>
      </c>
      <c r="X73" s="156"/>
      <c r="Y73" s="155">
        <f t="shared" si="44"/>
        <v>1940228</v>
      </c>
      <c r="Z73" s="155"/>
      <c r="AA73" s="155">
        <f t="shared" si="45"/>
        <v>304801</v>
      </c>
      <c r="AB73" s="155"/>
      <c r="AC73" s="155">
        <f t="shared" si="46"/>
        <v>186472</v>
      </c>
      <c r="AE73" s="155">
        <f t="shared" si="47"/>
        <v>38676</v>
      </c>
      <c r="AG73" s="155">
        <f t="shared" si="48"/>
        <v>115106</v>
      </c>
      <c r="AH73" s="156"/>
      <c r="AI73" s="157">
        <f t="shared" si="36"/>
        <v>0</v>
      </c>
    </row>
    <row r="74" spans="1:459">
      <c r="C74" s="159">
        <v>879</v>
      </c>
      <c r="E74" s="101" t="s">
        <v>64</v>
      </c>
      <c r="F74" s="222"/>
      <c r="G74" s="261">
        <v>6</v>
      </c>
      <c r="H74" s="222"/>
      <c r="I74" s="262">
        <f>+Linkin!H59</f>
        <v>1957160</v>
      </c>
      <c r="K74" s="155">
        <f t="shared" si="37"/>
        <v>0</v>
      </c>
      <c r="M74" s="155">
        <f t="shared" si="38"/>
        <v>0</v>
      </c>
      <c r="N74" s="156"/>
      <c r="O74" s="155">
        <f t="shared" si="39"/>
        <v>0</v>
      </c>
      <c r="P74" s="155"/>
      <c r="Q74" s="155">
        <f t="shared" si="40"/>
        <v>0</v>
      </c>
      <c r="R74" s="156"/>
      <c r="S74" s="155">
        <f t="shared" si="41"/>
        <v>0</v>
      </c>
      <c r="T74" s="155"/>
      <c r="U74" s="155">
        <f t="shared" si="42"/>
        <v>0</v>
      </c>
      <c r="W74" s="155">
        <f t="shared" si="43"/>
        <v>858215</v>
      </c>
      <c r="X74" s="156"/>
      <c r="Y74" s="155">
        <f t="shared" si="44"/>
        <v>824747</v>
      </c>
      <c r="Z74" s="155"/>
      <c r="AA74" s="155">
        <f t="shared" si="45"/>
        <v>129564</v>
      </c>
      <c r="AB74" s="155"/>
      <c r="AC74" s="155">
        <f t="shared" si="46"/>
        <v>79265</v>
      </c>
      <c r="AE74" s="155">
        <f t="shared" si="47"/>
        <v>16440</v>
      </c>
      <c r="AG74" s="155">
        <f t="shared" si="48"/>
        <v>48929</v>
      </c>
      <c r="AH74" s="156"/>
      <c r="AI74" s="157">
        <f t="shared" si="36"/>
        <v>0</v>
      </c>
    </row>
    <row r="75" spans="1:459">
      <c r="C75" s="159">
        <v>880</v>
      </c>
      <c r="E75" s="101" t="s">
        <v>65</v>
      </c>
      <c r="F75" s="222"/>
      <c r="G75" s="261">
        <v>10</v>
      </c>
      <c r="H75" s="222"/>
      <c r="I75" s="262">
        <f>+Linkin!H60</f>
        <v>5177861</v>
      </c>
      <c r="K75" s="156">
        <f t="shared" si="37"/>
        <v>1108580</v>
      </c>
      <c r="M75" s="156">
        <f t="shared" si="38"/>
        <v>611505</v>
      </c>
      <c r="N75" s="156"/>
      <c r="O75" s="156">
        <f t="shared" si="39"/>
        <v>166209</v>
      </c>
      <c r="P75" s="156"/>
      <c r="Q75" s="156">
        <f t="shared" si="40"/>
        <v>164656</v>
      </c>
      <c r="R75" s="156"/>
      <c r="S75" s="155">
        <f t="shared" si="41"/>
        <v>352612</v>
      </c>
      <c r="T75" s="155"/>
      <c r="U75" s="155">
        <f t="shared" si="42"/>
        <v>114949</v>
      </c>
      <c r="W75" s="156">
        <f t="shared" si="43"/>
        <v>1806556</v>
      </c>
      <c r="X75" s="156"/>
      <c r="Y75" s="156">
        <f t="shared" si="44"/>
        <v>605810</v>
      </c>
      <c r="Z75" s="155"/>
      <c r="AA75" s="155">
        <f t="shared" si="45"/>
        <v>115466</v>
      </c>
      <c r="AB75" s="155"/>
      <c r="AC75" s="155">
        <f t="shared" si="46"/>
        <v>74043</v>
      </c>
      <c r="AE75" s="155">
        <f t="shared" si="47"/>
        <v>14498</v>
      </c>
      <c r="AG75" s="155">
        <f t="shared" si="48"/>
        <v>42976</v>
      </c>
      <c r="AH75" s="156"/>
      <c r="AI75" s="157">
        <f t="shared" si="36"/>
        <v>-1</v>
      </c>
    </row>
    <row r="76" spans="1:459">
      <c r="C76" s="159">
        <v>881</v>
      </c>
      <c r="E76" s="101" t="s">
        <v>66</v>
      </c>
      <c r="F76" s="222"/>
      <c r="G76" s="261">
        <v>10</v>
      </c>
      <c r="H76" s="222"/>
      <c r="I76" s="262">
        <f>+Linkin!H61</f>
        <v>239651</v>
      </c>
      <c r="K76" s="160">
        <f t="shared" si="37"/>
        <v>51309</v>
      </c>
      <c r="M76" s="160">
        <f t="shared" si="38"/>
        <v>28303</v>
      </c>
      <c r="O76" s="160">
        <f t="shared" si="39"/>
        <v>7693</v>
      </c>
      <c r="P76" s="163"/>
      <c r="Q76" s="160">
        <f t="shared" si="40"/>
        <v>7621</v>
      </c>
      <c r="S76" s="160">
        <f t="shared" si="41"/>
        <v>16320</v>
      </c>
      <c r="T76" s="163"/>
      <c r="U76" s="160">
        <f t="shared" si="42"/>
        <v>5320</v>
      </c>
      <c r="W76" s="160">
        <f t="shared" si="43"/>
        <v>83614</v>
      </c>
      <c r="Y76" s="160">
        <f t="shared" si="44"/>
        <v>28039</v>
      </c>
      <c r="Z76" s="155"/>
      <c r="AA76" s="160">
        <f t="shared" si="45"/>
        <v>5344</v>
      </c>
      <c r="AB76" s="163"/>
      <c r="AC76" s="160">
        <f t="shared" si="46"/>
        <v>3427</v>
      </c>
      <c r="AE76" s="160">
        <f t="shared" si="47"/>
        <v>671</v>
      </c>
      <c r="AG76" s="160">
        <f t="shared" si="48"/>
        <v>1989</v>
      </c>
      <c r="AI76" s="157">
        <f t="shared" si="36"/>
        <v>-1</v>
      </c>
    </row>
    <row r="77" spans="1:459">
      <c r="C77" s="159" t="s">
        <v>217</v>
      </c>
      <c r="E77" s="222" t="s">
        <v>219</v>
      </c>
      <c r="F77" s="222"/>
      <c r="G77" s="261"/>
      <c r="H77" s="222"/>
      <c r="I77" s="894">
        <f>SUM(I62:I76)</f>
        <v>47363524.936436124</v>
      </c>
      <c r="J77" s="155"/>
      <c r="K77" s="155">
        <f t="shared" ref="K77:AC77" si="49">SUM(K62:K76)</f>
        <v>10139701</v>
      </c>
      <c r="L77" s="155"/>
      <c r="M77" s="155">
        <f t="shared" si="49"/>
        <v>5594743</v>
      </c>
      <c r="N77" s="155"/>
      <c r="O77" s="155">
        <f t="shared" si="49"/>
        <v>1520076</v>
      </c>
      <c r="P77" s="155"/>
      <c r="Q77" s="155">
        <f t="shared" si="49"/>
        <v>1504591</v>
      </c>
      <c r="R77" s="155"/>
      <c r="S77" s="155">
        <f t="shared" si="49"/>
        <v>3225792</v>
      </c>
      <c r="T77" s="155"/>
      <c r="U77" s="155">
        <f t="shared" ref="U77" si="50">SUM(U62:U76)</f>
        <v>1051361</v>
      </c>
      <c r="V77" s="155"/>
      <c r="W77" s="155">
        <f t="shared" si="49"/>
        <v>16528178</v>
      </c>
      <c r="X77" s="155"/>
      <c r="Y77" s="155">
        <f t="shared" si="49"/>
        <v>5542482</v>
      </c>
      <c r="Z77" s="155"/>
      <c r="AA77" s="155">
        <f t="shared" si="49"/>
        <v>1055093</v>
      </c>
      <c r="AB77" s="155"/>
      <c r="AC77" s="155">
        <f t="shared" si="49"/>
        <v>676993</v>
      </c>
      <c r="AD77" s="155"/>
      <c r="AE77" s="155">
        <f t="shared" ref="AE77" si="51">SUM(AE62:AE76)</f>
        <v>131070</v>
      </c>
      <c r="AF77" s="155"/>
      <c r="AG77" s="155">
        <f t="shared" ref="AG77" si="52">SUM(AG62:AG76)</f>
        <v>393444</v>
      </c>
      <c r="AH77" s="155"/>
      <c r="AI77" s="157">
        <f t="shared" si="36"/>
        <v>-0.93643612414598465</v>
      </c>
    </row>
    <row r="78" spans="1:459">
      <c r="C78" s="159"/>
      <c r="E78" s="222"/>
      <c r="F78" s="222"/>
      <c r="G78" s="261"/>
      <c r="H78" s="222"/>
      <c r="I78" s="490"/>
      <c r="S78" s="155"/>
      <c r="T78" s="155"/>
      <c r="U78" s="155"/>
      <c r="Z78" s="155"/>
      <c r="AA78" s="155"/>
      <c r="AB78" s="155"/>
      <c r="AC78" s="155"/>
      <c r="AE78" s="155"/>
      <c r="AG78" s="155"/>
      <c r="AI78" s="157">
        <f t="shared" si="36"/>
        <v>0</v>
      </c>
    </row>
    <row r="79" spans="1:459">
      <c r="C79" s="159" t="s">
        <v>217</v>
      </c>
      <c r="E79" s="475" t="s">
        <v>209</v>
      </c>
      <c r="F79" s="222"/>
      <c r="G79" s="261"/>
      <c r="H79" s="222"/>
      <c r="I79" s="490"/>
      <c r="S79" s="155"/>
      <c r="T79" s="155"/>
      <c r="U79" s="155"/>
      <c r="Z79" s="155"/>
      <c r="AA79" s="155"/>
      <c r="AB79" s="155"/>
      <c r="AC79" s="155"/>
      <c r="AE79" s="155"/>
      <c r="AG79" s="155"/>
      <c r="AI79" s="157">
        <f t="shared" si="36"/>
        <v>0</v>
      </c>
    </row>
    <row r="80" spans="1:459" s="47" customFormat="1">
      <c r="A80" s="149"/>
      <c r="B80" s="149"/>
      <c r="C80" s="159">
        <v>885</v>
      </c>
      <c r="D80" s="149"/>
      <c r="E80" s="222" t="s">
        <v>168</v>
      </c>
      <c r="F80" s="222"/>
      <c r="G80" s="261">
        <v>11</v>
      </c>
      <c r="H80" s="222"/>
      <c r="I80" s="262">
        <f>+Linkin!H65</f>
        <v>2246478</v>
      </c>
      <c r="J80" s="149"/>
      <c r="K80" s="156">
        <f>ROUND(VLOOKUP($G80,factors,+K$376)*$I80,0)</f>
        <v>756164</v>
      </c>
      <c r="L80" s="149"/>
      <c r="M80" s="156">
        <f>ROUND(VLOOKUP($G80,factors,+M$376)*$I80,0)</f>
        <v>417171</v>
      </c>
      <c r="N80" s="156"/>
      <c r="O80" s="156">
        <f>ROUND(VLOOKUP($G80,factors,+O$376)*$I80,0)</f>
        <v>113222</v>
      </c>
      <c r="P80" s="156"/>
      <c r="Q80" s="156">
        <f>ROUND(VLOOKUP($G80,factors,+Q$376)*$I80,0)</f>
        <v>111650</v>
      </c>
      <c r="R80" s="156"/>
      <c r="S80" s="155">
        <f>ROUND(VLOOKUP($G80,factors,+S$376)*$I80,0)</f>
        <v>147594</v>
      </c>
      <c r="T80" s="155"/>
      <c r="U80" s="155">
        <f>ROUND(VLOOKUP($G80,factors,+U$376)*$I80,0)</f>
        <v>58858</v>
      </c>
      <c r="V80" s="149"/>
      <c r="W80" s="156">
        <f>ROUND(VLOOKUP($G80,factors,+W$376)*$I80,0)</f>
        <v>438962</v>
      </c>
      <c r="X80" s="156"/>
      <c r="Y80" s="156">
        <f>ROUND(VLOOKUP($G80,factors,+Y$376)*$I80,0)</f>
        <v>125578</v>
      </c>
      <c r="Z80" s="155"/>
      <c r="AA80" s="155">
        <f>ROUND(VLOOKUP($G80,factors,+AA$376)*$I80,0)</f>
        <v>36168</v>
      </c>
      <c r="AB80" s="155"/>
      <c r="AC80" s="155">
        <f>ROUND(VLOOKUP($G80,factors,+AC$376)*$I80,0)</f>
        <v>23139</v>
      </c>
      <c r="AD80" s="149"/>
      <c r="AE80" s="155">
        <f>ROUND(VLOOKUP($G80,factors,+AE$376)*$I80,0)</f>
        <v>4493</v>
      </c>
      <c r="AF80" s="149"/>
      <c r="AG80" s="155">
        <f>ROUND(VLOOKUP($G80,factors,+AG$376)*$I80,0)</f>
        <v>13479</v>
      </c>
      <c r="AH80" s="156"/>
      <c r="AI80" s="157">
        <f t="shared" si="36"/>
        <v>0</v>
      </c>
      <c r="AJ80" s="149"/>
      <c r="AK80" s="149"/>
    </row>
    <row r="81" spans="1:39">
      <c r="C81" s="159">
        <v>886</v>
      </c>
      <c r="E81" s="260" t="s">
        <v>117</v>
      </c>
      <c r="F81" s="260"/>
      <c r="G81" s="392">
        <v>18</v>
      </c>
      <c r="H81" s="260"/>
      <c r="I81" s="262">
        <f>+Linkin!H66</f>
        <v>26066</v>
      </c>
      <c r="K81" s="156">
        <f>ROUND(VLOOKUP($G81,factors,+K$376)*$I81,0)</f>
        <v>12830</v>
      </c>
      <c r="M81" s="156">
        <f>ROUND(VLOOKUP($G81,factors,+M$376)*$I81,0)</f>
        <v>7077</v>
      </c>
      <c r="N81" s="156"/>
      <c r="O81" s="156">
        <f>ROUND(VLOOKUP($G81,factors,+O$376)*$I81,0)</f>
        <v>1918</v>
      </c>
      <c r="P81" s="156"/>
      <c r="Q81" s="156">
        <f>ROUND(VLOOKUP($G81,factors,+Q$376)*$I81,0)</f>
        <v>1887</v>
      </c>
      <c r="R81" s="156"/>
      <c r="S81" s="155">
        <f>ROUND(VLOOKUP($G81,factors,+S$376)*$I81,0)</f>
        <v>1561</v>
      </c>
      <c r="T81" s="155"/>
      <c r="U81" s="155">
        <f>ROUND(VLOOKUP($G81,factors,+U$376)*$I81,0)</f>
        <v>792</v>
      </c>
      <c r="W81" s="156">
        <f>ROUND(VLOOKUP($G81,factors,+W$376)*$I81,0)</f>
        <v>0</v>
      </c>
      <c r="X81" s="156"/>
      <c r="Y81" s="156">
        <f>ROUND(VLOOKUP($G81,factors,+Y$376)*$I81,0)</f>
        <v>0</v>
      </c>
      <c r="Z81" s="155"/>
      <c r="AA81" s="155">
        <f>ROUND(VLOOKUP($G81,factors,+AA$376)*$I81,0)</f>
        <v>0</v>
      </c>
      <c r="AB81" s="155"/>
      <c r="AC81" s="155">
        <f>ROUND(VLOOKUP($G81,factors,+AC$376)*$I81,0)</f>
        <v>0</v>
      </c>
      <c r="AE81" s="155">
        <f>ROUND(VLOOKUP($G81,factors,+AE$376)*$I81,0)</f>
        <v>0</v>
      </c>
      <c r="AG81" s="155">
        <f>ROUND(VLOOKUP($G81,factors,+AG$376)*$I81,0)</f>
        <v>0</v>
      </c>
      <c r="AH81" s="156"/>
      <c r="AI81" s="157">
        <f t="shared" si="36"/>
        <v>-1</v>
      </c>
    </row>
    <row r="82" spans="1:39" s="47" customFormat="1">
      <c r="A82" s="155">
        <f>+Linkin!H67</f>
        <v>16605501</v>
      </c>
      <c r="B82" s="432">
        <f>SUM(I82:I83)</f>
        <v>16605501</v>
      </c>
      <c r="C82" s="261">
        <v>887</v>
      </c>
      <c r="D82" s="222"/>
      <c r="E82" s="260" t="s">
        <v>393</v>
      </c>
      <c r="F82" s="260"/>
      <c r="G82" s="392">
        <v>5</v>
      </c>
      <c r="H82" s="260"/>
      <c r="I82" s="262">
        <f>ROUND(+Linkin!H67*B67,0)</f>
        <v>5840155</v>
      </c>
      <c r="J82" s="260"/>
      <c r="K82" s="156">
        <f>ROUND(VLOOKUP($G82,factors,+K$376)*$I82,0)</f>
        <v>3059073</v>
      </c>
      <c r="L82" s="149"/>
      <c r="M82" s="156">
        <f>ROUND(VLOOKUP($G82,factors,+M$376)*$I82,0)</f>
        <v>1687221</v>
      </c>
      <c r="N82" s="156"/>
      <c r="O82" s="156">
        <f>ROUND(VLOOKUP($G82,factors,+O$376)*$I82,0)</f>
        <v>457284</v>
      </c>
      <c r="P82" s="156"/>
      <c r="Q82" s="156">
        <f>ROUND(VLOOKUP($G82,factors,+Q$376)*$I82,0)</f>
        <v>449692</v>
      </c>
      <c r="R82" s="156"/>
      <c r="S82" s="155">
        <f>ROUND(VLOOKUP($G82,factors,+S$376)*$I82,0)</f>
        <v>0</v>
      </c>
      <c r="T82" s="155"/>
      <c r="U82" s="155">
        <f>ROUND(VLOOKUP($G82,factors,+U$376)*$I82,0)</f>
        <v>186885</v>
      </c>
      <c r="V82" s="149"/>
      <c r="W82" s="156">
        <f>ROUND(VLOOKUP($G82,factors,+W$376)*$I82,0)</f>
        <v>0</v>
      </c>
      <c r="X82" s="156"/>
      <c r="Y82" s="156">
        <f>ROUND(VLOOKUP($G82,factors,+Y$376)*$I82,0)</f>
        <v>0</v>
      </c>
      <c r="Z82" s="155"/>
      <c r="AA82" s="155">
        <f>ROUND(VLOOKUP($G82,factors,+AA$376)*$I82,0)</f>
        <v>0</v>
      </c>
      <c r="AB82" s="155"/>
      <c r="AC82" s="155">
        <f>ROUND(VLOOKUP($G82,factors,+AC$376)*$I82,0)</f>
        <v>0</v>
      </c>
      <c r="AD82" s="149"/>
      <c r="AE82" s="155">
        <f>ROUND(VLOOKUP($G82,factors,+AE$376)*$I82,0)</f>
        <v>0</v>
      </c>
      <c r="AF82" s="149"/>
      <c r="AG82" s="155">
        <f>ROUND(VLOOKUP($G82,factors,+AG$376)*$I82,0)</f>
        <v>0</v>
      </c>
      <c r="AH82" s="156"/>
      <c r="AI82" s="157">
        <f t="shared" si="36"/>
        <v>0</v>
      </c>
      <c r="AJ82" s="149"/>
      <c r="AK82" s="149"/>
    </row>
    <row r="83" spans="1:39" s="47" customFormat="1">
      <c r="A83" s="154"/>
      <c r="C83" s="261"/>
      <c r="D83" s="222"/>
      <c r="E83" s="260" t="s">
        <v>394</v>
      </c>
      <c r="F83" s="260"/>
      <c r="G83" s="392">
        <v>17</v>
      </c>
      <c r="H83" s="260"/>
      <c r="I83" s="262">
        <f>ROUND(+Linkin!H67*B68,0)</f>
        <v>10765346</v>
      </c>
      <c r="J83" s="260"/>
      <c r="K83" s="156">
        <f>ROUND(VLOOKUP($G83,factors,+K$376)*$I83,0)</f>
        <v>5130764</v>
      </c>
      <c r="L83" s="149"/>
      <c r="M83" s="156">
        <f>ROUND(VLOOKUP($G83,factors,+M$376)*$I83,0)</f>
        <v>2830209</v>
      </c>
      <c r="N83" s="156"/>
      <c r="O83" s="156">
        <f>ROUND(VLOOKUP($G83,factors,+O$376)*$I83,0)</f>
        <v>767569</v>
      </c>
      <c r="P83" s="156"/>
      <c r="Q83" s="156">
        <f>ROUND(VLOOKUP($G83,factors,+Q$376)*$I83,0)</f>
        <v>754651</v>
      </c>
      <c r="R83" s="156"/>
      <c r="S83" s="155">
        <f>ROUND(VLOOKUP($G83,factors,+S$376)*$I83,0)</f>
        <v>963498</v>
      </c>
      <c r="T83" s="155"/>
      <c r="U83" s="155">
        <f>ROUND(VLOOKUP($G83,factors,+U$376)*$I83,0)</f>
        <v>318654</v>
      </c>
      <c r="V83" s="149"/>
      <c r="W83" s="156"/>
      <c r="X83" s="156"/>
      <c r="Y83" s="156"/>
      <c r="Z83" s="155"/>
      <c r="AA83" s="155"/>
      <c r="AB83" s="155"/>
      <c r="AC83" s="155"/>
      <c r="AD83" s="149"/>
      <c r="AE83" s="155"/>
      <c r="AF83" s="149"/>
      <c r="AG83" s="155"/>
      <c r="AH83" s="156"/>
      <c r="AI83" s="157">
        <f t="shared" si="36"/>
        <v>-1</v>
      </c>
      <c r="AJ83" s="149"/>
      <c r="AK83" s="149"/>
    </row>
    <row r="84" spans="1:39" s="47" customFormat="1">
      <c r="A84" s="154"/>
      <c r="C84" s="261">
        <v>888</v>
      </c>
      <c r="D84" s="222"/>
      <c r="E84" s="260" t="s">
        <v>412</v>
      </c>
      <c r="F84" s="260"/>
      <c r="G84" s="392">
        <v>4</v>
      </c>
      <c r="H84" s="260"/>
      <c r="I84" s="262">
        <f>+Linkin!H68</f>
        <v>0</v>
      </c>
      <c r="J84" s="149"/>
      <c r="K84" s="156"/>
      <c r="L84" s="149"/>
      <c r="M84" s="156"/>
      <c r="N84" s="156"/>
      <c r="O84" s="156"/>
      <c r="P84" s="156"/>
      <c r="Q84" s="156"/>
      <c r="R84" s="156"/>
      <c r="S84" s="155"/>
      <c r="T84" s="155"/>
      <c r="U84" s="155"/>
      <c r="V84" s="149"/>
      <c r="W84" s="156"/>
      <c r="X84" s="156"/>
      <c r="Y84" s="156"/>
      <c r="Z84" s="155"/>
      <c r="AA84" s="155"/>
      <c r="AB84" s="155"/>
      <c r="AC84" s="155"/>
      <c r="AD84" s="149"/>
      <c r="AE84" s="155"/>
      <c r="AF84" s="149"/>
      <c r="AG84" s="155"/>
      <c r="AH84" s="156"/>
      <c r="AI84" s="157">
        <f t="shared" si="36"/>
        <v>0</v>
      </c>
      <c r="AJ84" s="149"/>
      <c r="AK84" s="149"/>
    </row>
    <row r="85" spans="1:39">
      <c r="C85" s="159">
        <v>889</v>
      </c>
      <c r="E85" s="260" t="s">
        <v>118</v>
      </c>
      <c r="F85" s="260"/>
      <c r="G85" s="392" t="s">
        <v>459</v>
      </c>
      <c r="H85" s="260"/>
      <c r="I85" s="262">
        <f>+Linkin!H69</f>
        <v>1396061</v>
      </c>
      <c r="K85" s="156">
        <f t="shared" ref="K85:K91" si="53">ROUND(VLOOKUP($G85,factors,+K$376)*$I85,0)</f>
        <v>450928</v>
      </c>
      <c r="M85" s="156">
        <f t="shared" ref="M85:M91" si="54">ROUND(VLOOKUP($G85,factors,+M$376)*$I85,0)</f>
        <v>249197</v>
      </c>
      <c r="N85" s="156"/>
      <c r="O85" s="156">
        <f t="shared" ref="O85:O91" si="55">ROUND(VLOOKUP($G85,factors,+O$376)*$I85,0)</f>
        <v>68128</v>
      </c>
      <c r="P85" s="156"/>
      <c r="Q85" s="156">
        <f t="shared" ref="Q85:Q91" si="56">ROUND(VLOOKUP($G85,factors,+Q$376)*$I85,0)</f>
        <v>68826</v>
      </c>
      <c r="R85" s="156"/>
      <c r="S85" s="155">
        <f t="shared" ref="S85:S91" si="57">ROUND(VLOOKUP($G85,factors,+S$376)*$I85,0)</f>
        <v>448415</v>
      </c>
      <c r="T85" s="155"/>
      <c r="U85" s="155">
        <f t="shared" ref="U85:U91" si="58">ROUND(VLOOKUP($G85,factors,+U$376)*$I85,0)</f>
        <v>110568</v>
      </c>
      <c r="W85" s="156">
        <f t="shared" ref="W85:W91" si="59">ROUND(VLOOKUP($G85,factors,+W$376)*$I85,0)</f>
        <v>0</v>
      </c>
      <c r="X85" s="156"/>
      <c r="Y85" s="156">
        <f t="shared" ref="Y85:Y91" si="60">ROUND(VLOOKUP($G85,factors,+Y$376)*$I85,0)</f>
        <v>0</v>
      </c>
      <c r="Z85" s="155"/>
      <c r="AA85" s="155">
        <f t="shared" ref="AA85:AA91" si="61">ROUND(VLOOKUP($G85,factors,+AA$376)*$I85,0)</f>
        <v>0</v>
      </c>
      <c r="AB85" s="155"/>
      <c r="AC85" s="155">
        <f t="shared" ref="AC85:AC91" si="62">ROUND(VLOOKUP($G85,factors,+AC$376)*$I85,0)</f>
        <v>0</v>
      </c>
      <c r="AE85" s="155">
        <f t="shared" ref="AE85:AE91" si="63">ROUND(VLOOKUP($G85,factors,+AE$376)*$I85,0)</f>
        <v>0</v>
      </c>
      <c r="AG85" s="155">
        <f t="shared" ref="AG85:AG91" si="64">ROUND(VLOOKUP($G85,factors,+AG$376)*$I85,0)</f>
        <v>0</v>
      </c>
      <c r="AH85" s="156"/>
      <c r="AI85" s="157">
        <f t="shared" si="36"/>
        <v>1</v>
      </c>
    </row>
    <row r="86" spans="1:39" s="47" customFormat="1">
      <c r="A86" s="149"/>
      <c r="B86" s="149"/>
      <c r="C86" s="159">
        <v>890</v>
      </c>
      <c r="D86" s="149"/>
      <c r="E86" s="222" t="s">
        <v>308</v>
      </c>
      <c r="F86" s="222"/>
      <c r="G86" s="261" t="s">
        <v>326</v>
      </c>
      <c r="H86" s="222"/>
      <c r="I86" s="262">
        <f>+Linkin!H70</f>
        <v>553342</v>
      </c>
      <c r="J86" s="149"/>
      <c r="K86" s="156">
        <f t="shared" si="53"/>
        <v>0</v>
      </c>
      <c r="L86" s="149"/>
      <c r="M86" s="156">
        <f t="shared" si="54"/>
        <v>0</v>
      </c>
      <c r="N86" s="156"/>
      <c r="O86" s="156">
        <f t="shared" si="55"/>
        <v>0</v>
      </c>
      <c r="P86" s="156"/>
      <c r="Q86" s="156">
        <f t="shared" si="56"/>
        <v>0</v>
      </c>
      <c r="R86" s="156"/>
      <c r="S86" s="155">
        <f t="shared" si="57"/>
        <v>0</v>
      </c>
      <c r="T86" s="155"/>
      <c r="U86" s="155">
        <f t="shared" si="58"/>
        <v>0</v>
      </c>
      <c r="V86" s="149"/>
      <c r="W86" s="156">
        <f t="shared" si="59"/>
        <v>0</v>
      </c>
      <c r="X86" s="156"/>
      <c r="Y86" s="156">
        <f t="shared" si="60"/>
        <v>0</v>
      </c>
      <c r="Z86" s="155"/>
      <c r="AA86" s="155">
        <f t="shared" si="61"/>
        <v>261399</v>
      </c>
      <c r="AB86" s="155"/>
      <c r="AC86" s="155">
        <f t="shared" si="62"/>
        <v>159971</v>
      </c>
      <c r="AD86" s="149"/>
      <c r="AE86" s="155">
        <f t="shared" si="63"/>
        <v>33035</v>
      </c>
      <c r="AF86" s="149"/>
      <c r="AG86" s="155">
        <f t="shared" si="64"/>
        <v>98938</v>
      </c>
      <c r="AH86" s="156"/>
      <c r="AI86" s="157">
        <f t="shared" si="36"/>
        <v>1</v>
      </c>
      <c r="AJ86" s="149"/>
      <c r="AK86" s="149"/>
    </row>
    <row r="87" spans="1:39" s="47" customFormat="1">
      <c r="A87" s="149"/>
      <c r="B87" s="149"/>
      <c r="C87" s="159">
        <v>891</v>
      </c>
      <c r="D87" s="149"/>
      <c r="E87" s="222" t="s">
        <v>309</v>
      </c>
      <c r="F87" s="222"/>
      <c r="G87" s="392" t="s">
        <v>459</v>
      </c>
      <c r="H87" s="222"/>
      <c r="I87" s="262">
        <f>+Linkin!H71</f>
        <v>1064990</v>
      </c>
      <c r="J87" s="149"/>
      <c r="K87" s="156">
        <f t="shared" si="53"/>
        <v>343992</v>
      </c>
      <c r="L87" s="149"/>
      <c r="M87" s="156">
        <f t="shared" si="54"/>
        <v>190101</v>
      </c>
      <c r="N87" s="156"/>
      <c r="O87" s="156">
        <f t="shared" si="55"/>
        <v>51972</v>
      </c>
      <c r="P87" s="156"/>
      <c r="Q87" s="156">
        <f t="shared" si="56"/>
        <v>52504</v>
      </c>
      <c r="R87" s="156"/>
      <c r="S87" s="155">
        <f t="shared" si="57"/>
        <v>342075</v>
      </c>
      <c r="T87" s="155"/>
      <c r="U87" s="155">
        <f t="shared" si="58"/>
        <v>84347</v>
      </c>
      <c r="V87" s="149"/>
      <c r="W87" s="156">
        <f t="shared" si="59"/>
        <v>0</v>
      </c>
      <c r="X87" s="156"/>
      <c r="Y87" s="156">
        <f t="shared" si="60"/>
        <v>0</v>
      </c>
      <c r="Z87" s="155"/>
      <c r="AA87" s="155">
        <f t="shared" si="61"/>
        <v>0</v>
      </c>
      <c r="AB87" s="155"/>
      <c r="AC87" s="155">
        <f t="shared" si="62"/>
        <v>0</v>
      </c>
      <c r="AD87" s="149"/>
      <c r="AE87" s="155">
        <f t="shared" si="63"/>
        <v>0</v>
      </c>
      <c r="AF87" s="149"/>
      <c r="AG87" s="155">
        <f t="shared" si="64"/>
        <v>0</v>
      </c>
      <c r="AH87" s="156"/>
      <c r="AI87" s="157">
        <f t="shared" si="36"/>
        <v>1</v>
      </c>
      <c r="AJ87" s="149"/>
      <c r="AK87" s="149"/>
    </row>
    <row r="88" spans="1:39" s="29" customFormat="1">
      <c r="A88" s="150"/>
      <c r="B88" s="150"/>
      <c r="C88" s="164">
        <v>892</v>
      </c>
      <c r="D88" s="150"/>
      <c r="E88" s="246" t="s">
        <v>121</v>
      </c>
      <c r="F88" s="246"/>
      <c r="G88" s="395" t="s">
        <v>398</v>
      </c>
      <c r="H88" s="246"/>
      <c r="I88" s="262">
        <f>+Linkin!H72</f>
        <v>4881537</v>
      </c>
      <c r="J88" s="150"/>
      <c r="K88" s="162">
        <f t="shared" si="53"/>
        <v>0</v>
      </c>
      <c r="L88" s="150"/>
      <c r="M88" s="162">
        <f t="shared" si="54"/>
        <v>0</v>
      </c>
      <c r="N88" s="162"/>
      <c r="O88" s="162">
        <f t="shared" si="55"/>
        <v>0</v>
      </c>
      <c r="P88" s="162"/>
      <c r="Q88" s="162">
        <f t="shared" si="56"/>
        <v>0</v>
      </c>
      <c r="R88" s="162"/>
      <c r="S88" s="163">
        <f t="shared" si="57"/>
        <v>0</v>
      </c>
      <c r="T88" s="163"/>
      <c r="U88" s="163">
        <f t="shared" si="58"/>
        <v>0</v>
      </c>
      <c r="V88" s="150"/>
      <c r="W88" s="162">
        <f t="shared" si="59"/>
        <v>4254748</v>
      </c>
      <c r="X88" s="162"/>
      <c r="Y88" s="162">
        <f t="shared" si="60"/>
        <v>568211</v>
      </c>
      <c r="Z88" s="163"/>
      <c r="AA88" s="163">
        <f t="shared" si="61"/>
        <v>23920</v>
      </c>
      <c r="AB88" s="163"/>
      <c r="AC88" s="163">
        <f t="shared" si="62"/>
        <v>25384</v>
      </c>
      <c r="AD88" s="150"/>
      <c r="AE88" s="163">
        <f t="shared" si="63"/>
        <v>1953</v>
      </c>
      <c r="AF88" s="150"/>
      <c r="AG88" s="163">
        <f t="shared" si="64"/>
        <v>7322</v>
      </c>
      <c r="AH88" s="162"/>
      <c r="AI88" s="157">
        <f t="shared" si="36"/>
        <v>1</v>
      </c>
      <c r="AJ88" s="150"/>
      <c r="AK88" s="150"/>
    </row>
    <row r="89" spans="1:39" s="29" customFormat="1">
      <c r="A89" s="150"/>
      <c r="B89" s="150"/>
      <c r="C89" s="164">
        <v>893</v>
      </c>
      <c r="D89" s="150"/>
      <c r="E89" s="246" t="s">
        <v>122</v>
      </c>
      <c r="F89" s="246"/>
      <c r="G89" s="395">
        <v>6</v>
      </c>
      <c r="H89" s="246"/>
      <c r="I89" s="262">
        <f>+Linkin!H73</f>
        <v>2199420</v>
      </c>
      <c r="J89" s="150"/>
      <c r="K89" s="163">
        <f t="shared" si="53"/>
        <v>0</v>
      </c>
      <c r="L89" s="150"/>
      <c r="M89" s="163">
        <f t="shared" si="54"/>
        <v>0</v>
      </c>
      <c r="N89" s="150"/>
      <c r="O89" s="163">
        <f t="shared" si="55"/>
        <v>0</v>
      </c>
      <c r="P89" s="163"/>
      <c r="Q89" s="163">
        <f t="shared" si="56"/>
        <v>0</v>
      </c>
      <c r="R89" s="150"/>
      <c r="S89" s="163">
        <f t="shared" si="57"/>
        <v>0</v>
      </c>
      <c r="T89" s="163"/>
      <c r="U89" s="163">
        <f t="shared" si="58"/>
        <v>0</v>
      </c>
      <c r="V89" s="150"/>
      <c r="W89" s="163">
        <f t="shared" si="59"/>
        <v>964446</v>
      </c>
      <c r="X89" s="150"/>
      <c r="Y89" s="163">
        <f t="shared" si="60"/>
        <v>926836</v>
      </c>
      <c r="Z89" s="163"/>
      <c r="AA89" s="163">
        <f t="shared" si="61"/>
        <v>145602</v>
      </c>
      <c r="AB89" s="163"/>
      <c r="AC89" s="163">
        <f t="shared" si="62"/>
        <v>89077</v>
      </c>
      <c r="AD89" s="150"/>
      <c r="AE89" s="163">
        <f t="shared" si="63"/>
        <v>18475</v>
      </c>
      <c r="AF89" s="150"/>
      <c r="AG89" s="163">
        <f t="shared" si="64"/>
        <v>54986</v>
      </c>
      <c r="AH89" s="150"/>
      <c r="AI89" s="157">
        <f t="shared" si="36"/>
        <v>2</v>
      </c>
      <c r="AJ89" s="150"/>
      <c r="AK89" s="150"/>
    </row>
    <row r="90" spans="1:39" s="99" customFormat="1">
      <c r="A90" s="150"/>
      <c r="B90" s="150"/>
      <c r="C90" s="164">
        <v>894</v>
      </c>
      <c r="D90" s="150"/>
      <c r="E90" s="246" t="s">
        <v>65</v>
      </c>
      <c r="F90" s="246"/>
      <c r="G90" s="395">
        <v>11</v>
      </c>
      <c r="H90" s="246"/>
      <c r="I90" s="262">
        <f>+Linkin!H74</f>
        <v>788727</v>
      </c>
      <c r="J90" s="150"/>
      <c r="K90" s="163">
        <f t="shared" si="53"/>
        <v>265486</v>
      </c>
      <c r="L90" s="150"/>
      <c r="M90" s="163">
        <f t="shared" si="54"/>
        <v>146467</v>
      </c>
      <c r="N90" s="150"/>
      <c r="O90" s="163">
        <f t="shared" si="55"/>
        <v>39752</v>
      </c>
      <c r="P90" s="163"/>
      <c r="Q90" s="163">
        <f t="shared" si="56"/>
        <v>39200</v>
      </c>
      <c r="R90" s="150"/>
      <c r="S90" s="163">
        <f t="shared" si="57"/>
        <v>51819</v>
      </c>
      <c r="T90" s="163"/>
      <c r="U90" s="163">
        <f t="shared" si="58"/>
        <v>20665</v>
      </c>
      <c r="V90" s="150"/>
      <c r="W90" s="163">
        <f t="shared" si="59"/>
        <v>154117</v>
      </c>
      <c r="X90" s="150"/>
      <c r="Y90" s="163">
        <f t="shared" si="60"/>
        <v>44090</v>
      </c>
      <c r="Z90" s="163"/>
      <c r="AA90" s="163">
        <f t="shared" si="61"/>
        <v>12699</v>
      </c>
      <c r="AB90" s="163"/>
      <c r="AC90" s="163">
        <f t="shared" si="62"/>
        <v>8124</v>
      </c>
      <c r="AD90" s="150"/>
      <c r="AE90" s="163">
        <f t="shared" si="63"/>
        <v>1577</v>
      </c>
      <c r="AF90" s="150"/>
      <c r="AG90" s="163">
        <f t="shared" si="64"/>
        <v>4732</v>
      </c>
      <c r="AH90" s="150"/>
      <c r="AI90" s="157">
        <f t="shared" si="36"/>
        <v>1</v>
      </c>
      <c r="AJ90" s="150"/>
      <c r="AK90" s="150"/>
    </row>
    <row r="91" spans="1:39" s="99" customFormat="1">
      <c r="A91" s="150"/>
      <c r="B91" s="150"/>
      <c r="C91" s="395">
        <v>895</v>
      </c>
      <c r="D91" s="246"/>
      <c r="E91" s="246" t="s">
        <v>413</v>
      </c>
      <c r="F91" s="246"/>
      <c r="G91" s="395">
        <v>11</v>
      </c>
      <c r="H91" s="246"/>
      <c r="I91" s="262">
        <f>+Linkin!H75</f>
        <v>0</v>
      </c>
      <c r="J91" s="150"/>
      <c r="K91" s="163">
        <f t="shared" si="53"/>
        <v>0</v>
      </c>
      <c r="L91" s="150"/>
      <c r="M91" s="163">
        <f t="shared" si="54"/>
        <v>0</v>
      </c>
      <c r="N91" s="150"/>
      <c r="O91" s="163">
        <f t="shared" si="55"/>
        <v>0</v>
      </c>
      <c r="P91" s="163"/>
      <c r="Q91" s="163">
        <f t="shared" si="56"/>
        <v>0</v>
      </c>
      <c r="R91" s="150"/>
      <c r="S91" s="163">
        <f t="shared" si="57"/>
        <v>0</v>
      </c>
      <c r="T91" s="163"/>
      <c r="U91" s="163">
        <f t="shared" si="58"/>
        <v>0</v>
      </c>
      <c r="V91" s="150"/>
      <c r="W91" s="163">
        <f t="shared" si="59"/>
        <v>0</v>
      </c>
      <c r="X91" s="150"/>
      <c r="Y91" s="163">
        <f t="shared" si="60"/>
        <v>0</v>
      </c>
      <c r="Z91" s="163"/>
      <c r="AA91" s="163">
        <f t="shared" si="61"/>
        <v>0</v>
      </c>
      <c r="AB91" s="163"/>
      <c r="AC91" s="163">
        <f t="shared" si="62"/>
        <v>0</v>
      </c>
      <c r="AD91" s="150"/>
      <c r="AE91" s="163">
        <f t="shared" si="63"/>
        <v>0</v>
      </c>
      <c r="AF91" s="150"/>
      <c r="AG91" s="163">
        <f t="shared" si="64"/>
        <v>0</v>
      </c>
      <c r="AH91" s="149"/>
      <c r="AI91" s="157">
        <f t="shared" si="36"/>
        <v>0</v>
      </c>
      <c r="AJ91" s="149"/>
      <c r="AK91" s="149"/>
      <c r="AL91" s="47"/>
      <c r="AM91" s="47"/>
    </row>
    <row r="92" spans="1:39">
      <c r="C92" s="149" t="s">
        <v>217</v>
      </c>
      <c r="E92" s="222" t="s">
        <v>220</v>
      </c>
      <c r="F92" s="222"/>
      <c r="G92" s="261"/>
      <c r="H92" s="222"/>
      <c r="I92" s="895">
        <f>SUM(I80:I91)</f>
        <v>29762122</v>
      </c>
      <c r="K92" s="271">
        <f t="shared" ref="K92" si="65">SUM(K80:K91)</f>
        <v>10019237</v>
      </c>
      <c r="M92" s="271">
        <f t="shared" ref="M92" si="66">SUM(M80:M91)</f>
        <v>5527443</v>
      </c>
      <c r="O92" s="271">
        <f t="shared" ref="O92" si="67">SUM(O80:O91)</f>
        <v>1499845</v>
      </c>
      <c r="Q92" s="271">
        <f t="shared" ref="Q92" si="68">SUM(Q80:Q91)</f>
        <v>1478410</v>
      </c>
      <c r="S92" s="271">
        <f t="shared" ref="S92:U92" si="69">SUM(S80:S91)</f>
        <v>1954962</v>
      </c>
      <c r="T92" s="163"/>
      <c r="U92" s="271">
        <f t="shared" si="69"/>
        <v>780769</v>
      </c>
      <c r="W92" s="271">
        <f t="shared" ref="W92" si="70">SUM(W80:W91)</f>
        <v>5812273</v>
      </c>
      <c r="Y92" s="271">
        <f t="shared" ref="Y92" si="71">SUM(Y80:Y91)</f>
        <v>1664715</v>
      </c>
      <c r="AA92" s="271">
        <f t="shared" ref="AA92" si="72">SUM(AA80:AA91)</f>
        <v>479788</v>
      </c>
      <c r="AC92" s="271">
        <f t="shared" ref="AC92:AG92" si="73">SUM(AC80:AC91)</f>
        <v>305695</v>
      </c>
      <c r="AE92" s="271">
        <f t="shared" si="73"/>
        <v>59533</v>
      </c>
      <c r="AG92" s="271">
        <f t="shared" si="73"/>
        <v>179457</v>
      </c>
      <c r="AI92" s="157">
        <f t="shared" si="36"/>
        <v>5</v>
      </c>
    </row>
    <row r="93" spans="1:39">
      <c r="E93" s="222"/>
      <c r="F93" s="222"/>
      <c r="G93" s="261"/>
      <c r="H93" s="222"/>
      <c r="I93" s="490"/>
      <c r="K93" s="155"/>
      <c r="M93" s="155"/>
      <c r="O93" s="155"/>
      <c r="P93" s="155"/>
      <c r="Q93" s="155"/>
      <c r="S93" s="155"/>
      <c r="T93" s="155"/>
      <c r="U93" s="155"/>
      <c r="W93" s="155"/>
      <c r="Y93" s="155"/>
      <c r="Z93" s="155"/>
      <c r="AA93" s="155"/>
      <c r="AB93" s="155"/>
      <c r="AC93" s="155"/>
      <c r="AE93" s="155"/>
      <c r="AG93" s="155"/>
      <c r="AI93" s="157">
        <f t="shared" si="36"/>
        <v>0</v>
      </c>
    </row>
    <row r="94" spans="1:39" ht="15.75">
      <c r="E94" s="476" t="s">
        <v>230</v>
      </c>
      <c r="F94" s="476"/>
      <c r="G94" s="477"/>
      <c r="H94" s="476"/>
      <c r="I94" s="478">
        <f>+I92+I77</f>
        <v>77125646.936436117</v>
      </c>
      <c r="J94" s="27"/>
      <c r="K94" s="39">
        <f>+K92+K77</f>
        <v>20158938</v>
      </c>
      <c r="L94" s="27"/>
      <c r="M94" s="39">
        <f>+M92+M77</f>
        <v>11122186</v>
      </c>
      <c r="N94" s="27"/>
      <c r="O94" s="39">
        <f>+O92+O77</f>
        <v>3019921</v>
      </c>
      <c r="P94" s="48"/>
      <c r="Q94" s="39">
        <f>+Q92+Q77</f>
        <v>2983001</v>
      </c>
      <c r="R94" s="27"/>
      <c r="S94" s="39">
        <f>+S92+S77</f>
        <v>5180754</v>
      </c>
      <c r="T94" s="48"/>
      <c r="U94" s="39">
        <f>+U92+U77</f>
        <v>1832130</v>
      </c>
      <c r="V94" s="27"/>
      <c r="W94" s="39">
        <f>+W92+W77</f>
        <v>22340451</v>
      </c>
      <c r="X94" s="27"/>
      <c r="Y94" s="39">
        <f>+Y92+Y77</f>
        <v>7207197</v>
      </c>
      <c r="Z94" s="27"/>
      <c r="AA94" s="39">
        <f>+AA92+AA77</f>
        <v>1534881</v>
      </c>
      <c r="AB94" s="48"/>
      <c r="AC94" s="39">
        <f>+AC92+AC77</f>
        <v>982688</v>
      </c>
      <c r="AD94" s="27"/>
      <c r="AE94" s="39">
        <f t="shared" ref="AE94" si="74">+AE92+AE77</f>
        <v>190603</v>
      </c>
      <c r="AF94" s="27"/>
      <c r="AG94" s="39">
        <f t="shared" ref="AG94" si="75">+AG92+AG77</f>
        <v>572901</v>
      </c>
      <c r="AH94" s="27"/>
      <c r="AI94" s="157">
        <f t="shared" si="36"/>
        <v>4.0635638833045959</v>
      </c>
    </row>
    <row r="95" spans="1:39" ht="19.5" customHeight="1">
      <c r="E95" s="222"/>
      <c r="F95" s="222"/>
      <c r="G95" s="261"/>
      <c r="H95" s="222"/>
      <c r="I95" s="490"/>
      <c r="S95" s="155"/>
      <c r="T95" s="155"/>
      <c r="U95" s="155"/>
      <c r="AA95" s="155"/>
      <c r="AB95" s="155"/>
      <c r="AC95" s="155"/>
      <c r="AE95" s="155"/>
      <c r="AG95" s="155"/>
      <c r="AI95" s="157">
        <f t="shared" si="36"/>
        <v>0</v>
      </c>
    </row>
    <row r="96" spans="1:39" ht="15.75">
      <c r="C96" s="27" t="s">
        <v>231</v>
      </c>
      <c r="E96" s="222"/>
      <c r="F96" s="222"/>
      <c r="G96" s="261"/>
      <c r="H96" s="222"/>
      <c r="I96" s="490"/>
      <c r="AI96" s="157">
        <f t="shared" si="36"/>
        <v>0</v>
      </c>
    </row>
    <row r="97" spans="1:37" ht="3" customHeight="1">
      <c r="C97" s="149" t="s">
        <v>217</v>
      </c>
      <c r="E97" s="222" t="s">
        <v>218</v>
      </c>
      <c r="F97" s="222"/>
      <c r="G97" s="261"/>
      <c r="H97" s="222"/>
      <c r="I97" s="490"/>
      <c r="AI97" s="157">
        <f t="shared" ref="AI97:AI129" si="76">SUM(K97:AG97)-I97</f>
        <v>0</v>
      </c>
    </row>
    <row r="98" spans="1:37">
      <c r="C98" s="149" t="s">
        <v>217</v>
      </c>
      <c r="E98" s="475" t="s">
        <v>206</v>
      </c>
      <c r="F98" s="222"/>
      <c r="G98" s="261"/>
      <c r="H98" s="222"/>
      <c r="I98" s="490"/>
      <c r="AI98" s="157">
        <f t="shared" si="76"/>
        <v>0</v>
      </c>
    </row>
    <row r="99" spans="1:37" s="47" customFormat="1">
      <c r="A99" s="149"/>
      <c r="B99" s="149"/>
      <c r="C99" s="159">
        <v>901</v>
      </c>
      <c r="D99" s="149"/>
      <c r="E99" s="222" t="s">
        <v>167</v>
      </c>
      <c r="F99" s="222"/>
      <c r="G99" s="261">
        <v>7</v>
      </c>
      <c r="H99" s="222"/>
      <c r="I99" s="262">
        <f>+Linkin!H81</f>
        <v>831895</v>
      </c>
      <c r="J99" s="149"/>
      <c r="K99" s="156">
        <f>ROUND(VLOOKUP($G99,factors,+K$376)*$I99,0)</f>
        <v>0</v>
      </c>
      <c r="L99" s="149"/>
      <c r="M99" s="155">
        <f>ROUND(VLOOKUP($G99,factors,+M$376)*$I99,0)</f>
        <v>0</v>
      </c>
      <c r="N99" s="156"/>
      <c r="O99" s="155">
        <f>ROUND(VLOOKUP($G99,factors,+O$376)*$I99,0)</f>
        <v>0</v>
      </c>
      <c r="P99" s="155"/>
      <c r="Q99" s="155">
        <f>ROUND(VLOOKUP($G99,factors,+Q$376)*$I99,0)</f>
        <v>0</v>
      </c>
      <c r="R99" s="156"/>
      <c r="S99" s="155">
        <f>ROUND(VLOOKUP($G99,factors,+S$376)*$I99,0)</f>
        <v>0</v>
      </c>
      <c r="T99" s="155"/>
      <c r="U99" s="155">
        <f>ROUND(VLOOKUP($G99,factors,+U$376)*$I99,0)</f>
        <v>0</v>
      </c>
      <c r="V99" s="155"/>
      <c r="W99" s="155">
        <f>ROUND(VLOOKUP($G99,factors,+W$376)*$I99,0)</f>
        <v>743298</v>
      </c>
      <c r="X99" s="155"/>
      <c r="Y99" s="155">
        <f>ROUND(VLOOKUP($G99,factors,+Y$376)*$I99,0)</f>
        <v>85519</v>
      </c>
      <c r="Z99" s="155"/>
      <c r="AA99" s="155">
        <f>ROUND(VLOOKUP($G99,factors,+AA$376)*$I99,0)</f>
        <v>1913</v>
      </c>
      <c r="AB99" s="155"/>
      <c r="AC99" s="155">
        <f>ROUND(VLOOKUP($G99,factors,+AC$376)*$I99,0)</f>
        <v>582</v>
      </c>
      <c r="AD99" s="155"/>
      <c r="AE99" s="155">
        <f>ROUND(VLOOKUP($G99,factors,+AE$376)*$I99,0)</f>
        <v>83</v>
      </c>
      <c r="AF99" s="155"/>
      <c r="AG99" s="155">
        <f>ROUND(VLOOKUP($G99,factors,+AG$376)*$I99,0)</f>
        <v>499</v>
      </c>
      <c r="AH99" s="149"/>
      <c r="AI99" s="157">
        <f t="shared" si="76"/>
        <v>-1</v>
      </c>
      <c r="AJ99" s="149"/>
      <c r="AK99" s="149"/>
    </row>
    <row r="100" spans="1:37">
      <c r="C100" s="159">
        <v>902</v>
      </c>
      <c r="E100" s="222" t="s">
        <v>123</v>
      </c>
      <c r="F100" s="222"/>
      <c r="G100" s="261">
        <v>7</v>
      </c>
      <c r="H100" s="222"/>
      <c r="I100" s="262">
        <f>+Linkin!H82</f>
        <v>2601112</v>
      </c>
      <c r="K100" s="156">
        <f>ROUND(VLOOKUP($G100,factors,+K$376)*$I100,0)</f>
        <v>0</v>
      </c>
      <c r="M100" s="155">
        <f>ROUND(VLOOKUP($G100,factors,+M$376)*$I100,0)</f>
        <v>0</v>
      </c>
      <c r="N100" s="156"/>
      <c r="O100" s="155">
        <f>ROUND(VLOOKUP($G100,factors,+O$376)*$I100,0)</f>
        <v>0</v>
      </c>
      <c r="P100" s="155"/>
      <c r="Q100" s="155">
        <f>ROUND(VLOOKUP($G100,factors,+Q$376)*$I100,0)</f>
        <v>0</v>
      </c>
      <c r="R100" s="156"/>
      <c r="S100" s="155">
        <f>ROUND(VLOOKUP($G100,factors,+S$376)*$I100,0)</f>
        <v>0</v>
      </c>
      <c r="T100" s="155"/>
      <c r="U100" s="155">
        <f>ROUND(VLOOKUP($G100,factors,+U$376)*$I100,0)</f>
        <v>0</v>
      </c>
      <c r="V100" s="155"/>
      <c r="W100" s="155">
        <f>ROUND(VLOOKUP($G100,factors,+W$376)*$I100,0)</f>
        <v>2324094</v>
      </c>
      <c r="X100" s="155"/>
      <c r="Y100" s="155">
        <f>ROUND(VLOOKUP($G100,factors,+Y$376)*$I100,0)</f>
        <v>267394</v>
      </c>
      <c r="Z100" s="155"/>
      <c r="AA100" s="155">
        <f>ROUND(VLOOKUP($G100,factors,+AA$376)*$I100,0)</f>
        <v>5983</v>
      </c>
      <c r="AB100" s="155"/>
      <c r="AC100" s="155">
        <f>ROUND(VLOOKUP($G100,factors,+AC$376)*$I100,0)</f>
        <v>1821</v>
      </c>
      <c r="AD100" s="155"/>
      <c r="AE100" s="155">
        <f>ROUND(VLOOKUP($G100,factors,+AE$376)*$I100,0)</f>
        <v>260</v>
      </c>
      <c r="AF100" s="155"/>
      <c r="AG100" s="155">
        <f>ROUND(VLOOKUP($G100,factors,+AG$376)*$I100,0)</f>
        <v>1561</v>
      </c>
      <c r="AI100" s="157">
        <f t="shared" si="76"/>
        <v>1</v>
      </c>
    </row>
    <row r="101" spans="1:37">
      <c r="A101" s="440" t="s">
        <v>556</v>
      </c>
      <c r="B101" s="440" t="s">
        <v>555</v>
      </c>
      <c r="C101" s="159">
        <v>903</v>
      </c>
      <c r="E101" s="222" t="s">
        <v>124</v>
      </c>
      <c r="F101" s="222"/>
      <c r="G101" s="261">
        <v>7</v>
      </c>
      <c r="H101" s="222"/>
      <c r="I101" s="262">
        <f>+Linkin!H83-I102</f>
        <v>18964711</v>
      </c>
      <c r="K101" s="156">
        <f>ROUND(VLOOKUP($G101,factors,+K$376)*$I101,0)</f>
        <v>0</v>
      </c>
      <c r="M101" s="155">
        <f>ROUND(VLOOKUP($G101,factors,+M$376)*$I101,0)</f>
        <v>0</v>
      </c>
      <c r="N101" s="156"/>
      <c r="O101" s="155">
        <f>ROUND(VLOOKUP($G101,factors,+O$376)*$I101,0)</f>
        <v>0</v>
      </c>
      <c r="P101" s="155"/>
      <c r="Q101" s="155">
        <f>ROUND(VLOOKUP($G101,factors,+Q$376)*$I101,0)</f>
        <v>0</v>
      </c>
      <c r="R101" s="156"/>
      <c r="S101" s="155">
        <f>ROUND(VLOOKUP($G101,factors,+S$376)*$I101,0)</f>
        <v>0</v>
      </c>
      <c r="T101" s="155"/>
      <c r="U101" s="155">
        <f>ROUND(VLOOKUP($G101,factors,+U$376)*$I101,0)</f>
        <v>0</v>
      </c>
      <c r="V101" s="155"/>
      <c r="W101" s="155">
        <f>ROUND(VLOOKUP($G101,factors,+W$376)*$I101,0)</f>
        <v>16944969</v>
      </c>
      <c r="X101" s="155"/>
      <c r="Y101" s="155">
        <f>ROUND(VLOOKUP($G101,factors,+Y$376)*$I101,0)</f>
        <v>1949572</v>
      </c>
      <c r="Z101" s="155"/>
      <c r="AA101" s="155">
        <f>ROUND(VLOOKUP($G101,factors,+AA$376)*$I101,0)</f>
        <v>43619</v>
      </c>
      <c r="AB101" s="155"/>
      <c r="AC101" s="155">
        <f>ROUND(VLOOKUP($G101,factors,+AC$376)*$I101,0)</f>
        <v>13275</v>
      </c>
      <c r="AD101" s="155"/>
      <c r="AE101" s="155">
        <f>ROUND(VLOOKUP($G101,factors,+AE$376)*$I101,0)</f>
        <v>1896</v>
      </c>
      <c r="AF101" s="155"/>
      <c r="AG101" s="155">
        <f>ROUND(VLOOKUP($G101,factors,+AG$376)*$I101,0)</f>
        <v>11379</v>
      </c>
      <c r="AI101" s="157">
        <f t="shared" si="76"/>
        <v>-1</v>
      </c>
    </row>
    <row r="102" spans="1:37">
      <c r="A102" s="540"/>
      <c r="B102" s="540"/>
      <c r="C102" s="159">
        <v>903.1</v>
      </c>
      <c r="E102" s="260" t="s">
        <v>627</v>
      </c>
      <c r="F102" s="222"/>
      <c r="G102" s="392" t="s">
        <v>386</v>
      </c>
      <c r="H102" s="222"/>
      <c r="I102" s="262">
        <v>8297000</v>
      </c>
      <c r="J102" s="260"/>
      <c r="K102" s="263">
        <f>+I102</f>
        <v>8297000</v>
      </c>
      <c r="L102" s="222"/>
      <c r="M102" s="285"/>
      <c r="N102" s="156"/>
      <c r="O102" s="155"/>
      <c r="P102" s="155"/>
      <c r="Q102" s="155"/>
      <c r="R102" s="156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I102" s="157">
        <f t="shared" si="76"/>
        <v>0</v>
      </c>
    </row>
    <row r="103" spans="1:37">
      <c r="A103" s="441">
        <v>10773.35204</v>
      </c>
      <c r="B103" s="165">
        <v>11731.64524</v>
      </c>
      <c r="C103" s="159">
        <v>904</v>
      </c>
      <c r="E103" s="260" t="s">
        <v>310</v>
      </c>
      <c r="F103" s="260"/>
      <c r="G103" s="392">
        <v>19</v>
      </c>
      <c r="H103" s="260"/>
      <c r="I103" s="262">
        <f>IF(ROR!C2=2,+Alloc!B103*1000,Alloc!A103*1000)</f>
        <v>11731645.24</v>
      </c>
      <c r="J103" s="260"/>
      <c r="K103" s="263">
        <v>3969296.3449571896</v>
      </c>
      <c r="L103" s="222"/>
      <c r="M103" s="285">
        <v>182120.26843498895</v>
      </c>
      <c r="N103" s="156"/>
      <c r="O103" s="155"/>
      <c r="P103" s="155"/>
      <c r="Q103" s="155"/>
      <c r="R103" s="156"/>
      <c r="S103" s="155"/>
      <c r="T103" s="155"/>
      <c r="U103" s="155"/>
      <c r="V103" s="155"/>
      <c r="W103" s="165">
        <f>ROUND(VLOOKUP($G103,factors,+W$376)*$I103,0)-K103</f>
        <v>7148783.6550428104</v>
      </c>
      <c r="X103" s="155"/>
      <c r="Y103" s="155">
        <f>ROUND(VLOOKUP($G103,factors,+Y$376)*$I103,0)-M103</f>
        <v>328206.73156501108</v>
      </c>
      <c r="Z103" s="155"/>
      <c r="AA103" s="155">
        <f>ROUND(VLOOKUP($G103,factors,+AA$376)*$I103,0)</f>
        <v>7039</v>
      </c>
      <c r="AB103" s="155"/>
      <c r="AC103" s="155">
        <f>ROUND(VLOOKUP($G103,factors,+AC$376)*$I103,0)</f>
        <v>72736</v>
      </c>
      <c r="AD103" s="155"/>
      <c r="AE103" s="155">
        <f>ROUND(VLOOKUP($G103,factors,+AE$376)*$I103,0)</f>
        <v>23463</v>
      </c>
      <c r="AF103" s="155"/>
      <c r="AG103" s="155">
        <f>ROUND(VLOOKUP($G103,factors,+AG$376)*$I103,0)</f>
        <v>0</v>
      </c>
      <c r="AI103" s="157">
        <f t="shared" si="76"/>
        <v>-0.24000000022351742</v>
      </c>
    </row>
    <row r="104" spans="1:37">
      <c r="C104" s="159">
        <v>905</v>
      </c>
      <c r="E104" s="222" t="s">
        <v>311</v>
      </c>
      <c r="F104" s="222"/>
      <c r="G104" s="261">
        <v>7</v>
      </c>
      <c r="H104" s="222"/>
      <c r="I104" s="262">
        <f>+Linkin!H85</f>
        <v>3464722</v>
      </c>
      <c r="J104" s="150"/>
      <c r="K104" s="161">
        <f>ROUND(VLOOKUP($G104,factors,+K$376)*$I104,0)</f>
        <v>0</v>
      </c>
      <c r="L104" s="150"/>
      <c r="M104" s="160">
        <f>ROUND(VLOOKUP($G104,factors,+M$376)*$I104,0)</f>
        <v>0</v>
      </c>
      <c r="O104" s="160">
        <f>ROUND(VLOOKUP($G104,factors,+O$376)*$I104,0)</f>
        <v>0</v>
      </c>
      <c r="P104" s="163"/>
      <c r="Q104" s="160">
        <f>ROUND(VLOOKUP($G104,factors,+Q$376)*$I104,0)</f>
        <v>0</v>
      </c>
      <c r="S104" s="160">
        <f>ROUND(VLOOKUP($G104,factors,+S$376)*$I104,0)</f>
        <v>0</v>
      </c>
      <c r="T104" s="163"/>
      <c r="U104" s="160">
        <f>ROUND(VLOOKUP($G104,factors,+U$376)*$I104,0)</f>
        <v>0</v>
      </c>
      <c r="V104" s="155"/>
      <c r="W104" s="160">
        <f>ROUND(VLOOKUP($G104,factors,+W$376)*$I104,0)</f>
        <v>3095729</v>
      </c>
      <c r="X104" s="155"/>
      <c r="Y104" s="160">
        <f>ROUND(VLOOKUP($G104,factors,+Y$376)*$I104,0)</f>
        <v>356173</v>
      </c>
      <c r="Z104" s="155"/>
      <c r="AA104" s="160">
        <f>ROUND(VLOOKUP($G104,factors,+AA$376)*$I104,0)</f>
        <v>7969</v>
      </c>
      <c r="AB104" s="163"/>
      <c r="AC104" s="160">
        <f>ROUND(VLOOKUP($G104,factors,+AC$376)*$I104,0)</f>
        <v>2425</v>
      </c>
      <c r="AD104" s="155"/>
      <c r="AE104" s="160">
        <f>ROUND(VLOOKUP($G104,factors,+AE$376)*$I104,0)</f>
        <v>346</v>
      </c>
      <c r="AF104" s="155"/>
      <c r="AG104" s="160">
        <f>ROUND(VLOOKUP($G104,factors,+AG$376)*$I104,0)</f>
        <v>2079</v>
      </c>
      <c r="AI104" s="157">
        <f t="shared" si="76"/>
        <v>-1</v>
      </c>
    </row>
    <row r="105" spans="1:37" ht="15.75">
      <c r="E105" s="476" t="s">
        <v>232</v>
      </c>
      <c r="F105" s="476"/>
      <c r="G105" s="477"/>
      <c r="H105" s="476"/>
      <c r="I105" s="481">
        <f>SUM(I99:I104)</f>
        <v>45891085.240000002</v>
      </c>
      <c r="J105" s="27"/>
      <c r="K105" s="39">
        <f>SUM(K99:K104)</f>
        <v>12266296.34495719</v>
      </c>
      <c r="L105" s="27"/>
      <c r="M105" s="39">
        <f>SUM(M99:M104)</f>
        <v>182120.26843498895</v>
      </c>
      <c r="N105" s="27"/>
      <c r="O105" s="39">
        <f>SUM(O99:O104)</f>
        <v>0</v>
      </c>
      <c r="P105" s="48"/>
      <c r="Q105" s="39">
        <f>SUM(Q99:Q104)</f>
        <v>0</v>
      </c>
      <c r="R105" s="27"/>
      <c r="S105" s="39">
        <f>SUM(S99:S104)</f>
        <v>0</v>
      </c>
      <c r="T105" s="48"/>
      <c r="U105" s="39">
        <f>SUM(U99:U104)</f>
        <v>0</v>
      </c>
      <c r="V105" s="27"/>
      <c r="W105" s="39">
        <f>SUM(W99:W104)</f>
        <v>30256873.655042812</v>
      </c>
      <c r="X105" s="27"/>
      <c r="Y105" s="39">
        <f>SUM(Y99:Y104)</f>
        <v>2986864.7315650112</v>
      </c>
      <c r="Z105" s="27"/>
      <c r="AA105" s="39">
        <f>SUM(AA99:AA104)</f>
        <v>66523</v>
      </c>
      <c r="AB105" s="48"/>
      <c r="AC105" s="39">
        <f>SUM(AC99:AC104)</f>
        <v>90839</v>
      </c>
      <c r="AD105" s="27"/>
      <c r="AE105" s="39">
        <f>SUM(AE99:AE104)</f>
        <v>26048</v>
      </c>
      <c r="AF105" s="27"/>
      <c r="AG105" s="39">
        <f>SUM(AG99:AG104)</f>
        <v>15518</v>
      </c>
      <c r="AH105" s="27"/>
      <c r="AI105" s="157">
        <f t="shared" si="76"/>
        <v>-2.2400000020861626</v>
      </c>
    </row>
    <row r="106" spans="1:37" ht="21" customHeight="1">
      <c r="E106" s="222"/>
      <c r="F106" s="222"/>
      <c r="G106" s="261"/>
      <c r="H106" s="222"/>
      <c r="I106" s="490"/>
      <c r="K106" s="155"/>
      <c r="M106" s="155"/>
      <c r="O106" s="155"/>
      <c r="P106" s="155"/>
      <c r="Q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I106" s="157">
        <f t="shared" si="76"/>
        <v>0</v>
      </c>
    </row>
    <row r="107" spans="1:37" ht="15.75">
      <c r="C107" s="27" t="s">
        <v>233</v>
      </c>
      <c r="E107" s="222"/>
      <c r="F107" s="222"/>
      <c r="G107" s="261"/>
      <c r="H107" s="222"/>
      <c r="I107" s="490"/>
      <c r="K107" s="155"/>
      <c r="M107" s="155"/>
      <c r="O107" s="155"/>
      <c r="P107" s="155"/>
      <c r="Q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I107" s="157">
        <f t="shared" si="76"/>
        <v>0</v>
      </c>
    </row>
    <row r="108" spans="1:37" ht="3" customHeight="1">
      <c r="C108" s="149" t="s">
        <v>217</v>
      </c>
      <c r="E108" s="222" t="s">
        <v>218</v>
      </c>
      <c r="F108" s="222"/>
      <c r="G108" s="261"/>
      <c r="H108" s="222"/>
      <c r="I108" s="490"/>
      <c r="K108" s="155"/>
      <c r="M108" s="155"/>
      <c r="O108" s="155"/>
      <c r="P108" s="155"/>
      <c r="Q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I108" s="157">
        <f t="shared" si="76"/>
        <v>0</v>
      </c>
    </row>
    <row r="109" spans="1:37">
      <c r="C109" s="149" t="s">
        <v>217</v>
      </c>
      <c r="E109" s="475" t="s">
        <v>206</v>
      </c>
      <c r="F109" s="222"/>
      <c r="G109" s="261"/>
      <c r="H109" s="222"/>
      <c r="I109" s="490"/>
      <c r="K109" s="155"/>
      <c r="M109" s="155"/>
      <c r="O109" s="155"/>
      <c r="P109" s="155"/>
      <c r="Q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I109" s="157">
        <f t="shared" si="76"/>
        <v>0</v>
      </c>
    </row>
    <row r="110" spans="1:37">
      <c r="C110" s="159">
        <v>907</v>
      </c>
      <c r="E110" s="222" t="s">
        <v>167</v>
      </c>
      <c r="F110" s="222"/>
      <c r="G110" s="261">
        <v>7</v>
      </c>
      <c r="H110" s="222"/>
      <c r="I110" s="262">
        <f>+Linkin!H89</f>
        <v>198524</v>
      </c>
      <c r="K110" s="163">
        <f>ROUND(VLOOKUP($G110,factors,+K$376)*$I110,0)</f>
        <v>0</v>
      </c>
      <c r="L110" s="150"/>
      <c r="M110" s="163">
        <f>ROUND(VLOOKUP($G110,factors,+M$376)*$I110,0)</f>
        <v>0</v>
      </c>
      <c r="N110" s="162"/>
      <c r="O110" s="163">
        <f>ROUND(VLOOKUP($G110,factors,+O$376)*$I110,0)</f>
        <v>0</v>
      </c>
      <c r="P110" s="163"/>
      <c r="Q110" s="163">
        <f>ROUND(VLOOKUP($G110,factors,+Q$376)*$I110,0)</f>
        <v>0</v>
      </c>
      <c r="R110" s="162"/>
      <c r="S110" s="163">
        <f>ROUND(VLOOKUP($G110,factors,+S$376)*$I110,0)</f>
        <v>0</v>
      </c>
      <c r="T110" s="163"/>
      <c r="U110" s="163">
        <f>ROUND(VLOOKUP($G110,factors,+U$376)*$I110,0)</f>
        <v>0</v>
      </c>
      <c r="V110" s="163"/>
      <c r="W110" s="163">
        <f>ROUND(VLOOKUP($G110,factors,+W$376)*$I110,0)</f>
        <v>177381</v>
      </c>
      <c r="X110" s="163"/>
      <c r="Y110" s="163">
        <f>ROUND(VLOOKUP($G110,factors,+Y$376)*$I110,0)</f>
        <v>20408</v>
      </c>
      <c r="Z110" s="163"/>
      <c r="AA110" s="163">
        <f>ROUND(VLOOKUP($G110,factors,+AA$376)*$I110,0)</f>
        <v>457</v>
      </c>
      <c r="AB110" s="163"/>
      <c r="AC110" s="163">
        <f>ROUND(VLOOKUP($G110,factors,+AC$376)*$I110,0)</f>
        <v>139</v>
      </c>
      <c r="AD110" s="163"/>
      <c r="AE110" s="163">
        <f>ROUND(VLOOKUP($G110,factors,+AE$376)*$I110,0)</f>
        <v>20</v>
      </c>
      <c r="AF110" s="163"/>
      <c r="AG110" s="163">
        <f>ROUND(VLOOKUP($G110,factors,+AG$376)*$I110,0)</f>
        <v>119</v>
      </c>
      <c r="AH110" s="150"/>
      <c r="AI110" s="157">
        <f t="shared" si="76"/>
        <v>0</v>
      </c>
    </row>
    <row r="111" spans="1:37">
      <c r="A111" s="154"/>
      <c r="B111" s="165"/>
      <c r="C111" s="159">
        <v>908</v>
      </c>
      <c r="E111" s="222" t="s">
        <v>86</v>
      </c>
      <c r="F111" s="222"/>
      <c r="G111" s="261">
        <v>9</v>
      </c>
      <c r="H111" s="222"/>
      <c r="I111" s="262">
        <f>+Linkin!H90</f>
        <v>1635559</v>
      </c>
      <c r="J111" s="150"/>
      <c r="K111" s="163">
        <f>ROUND(VLOOKUP($G111,factors,+K$376)*$I111,0)</f>
        <v>0</v>
      </c>
      <c r="L111" s="150"/>
      <c r="M111" s="163">
        <f>ROUND(VLOOKUP($G111,factors,+M$376)*$I111,0)</f>
        <v>0</v>
      </c>
      <c r="N111" s="162"/>
      <c r="O111" s="163">
        <f>ROUND(VLOOKUP($G111,factors,+O$376)*$I111,0)</f>
        <v>0</v>
      </c>
      <c r="P111" s="163"/>
      <c r="Q111" s="163">
        <f>ROUND(VLOOKUP($G111,factors,+Q$376)*$I111,0)</f>
        <v>0</v>
      </c>
      <c r="R111" s="162"/>
      <c r="S111" s="163">
        <f>ROUND(VLOOKUP($G111,factors,+S$376)*$I111,0)</f>
        <v>0</v>
      </c>
      <c r="T111" s="163"/>
      <c r="U111" s="163">
        <f>ROUND(VLOOKUP($G111,factors,+U$376)*$I111,0)</f>
        <v>0</v>
      </c>
      <c r="V111" s="163"/>
      <c r="W111" s="163">
        <f>ROUND(VLOOKUP($G111,factors,+W$376)*$I111,0)</f>
        <v>1635559</v>
      </c>
      <c r="X111" s="163"/>
      <c r="Y111" s="163">
        <f>ROUND(VLOOKUP($G111,factors,+Y$376)*$I111,0)</f>
        <v>0</v>
      </c>
      <c r="Z111" s="163"/>
      <c r="AA111" s="163">
        <f>ROUND(VLOOKUP($G111,factors,+AA$376)*$I111,0)</f>
        <v>0</v>
      </c>
      <c r="AB111" s="163"/>
      <c r="AC111" s="163">
        <f>ROUND(VLOOKUP($G111,factors,+AC$376)*$I111,0)</f>
        <v>0</v>
      </c>
      <c r="AD111" s="163"/>
      <c r="AE111" s="163">
        <f>ROUND(VLOOKUP($G111,factors,+AE$376)*$I111,0)</f>
        <v>0</v>
      </c>
      <c r="AF111" s="163"/>
      <c r="AG111" s="163">
        <f>ROUND(VLOOKUP($G111,factors,+AG$376)*$I111,0)</f>
        <v>0</v>
      </c>
      <c r="AH111" s="150"/>
      <c r="AI111" s="157">
        <f t="shared" si="76"/>
        <v>0</v>
      </c>
    </row>
    <row r="112" spans="1:37">
      <c r="A112" s="154"/>
      <c r="B112" s="165"/>
      <c r="C112" s="159">
        <v>909</v>
      </c>
      <c r="E112" s="222" t="s">
        <v>373</v>
      </c>
      <c r="F112" s="222"/>
      <c r="G112" s="261">
        <v>7</v>
      </c>
      <c r="H112" s="222"/>
      <c r="I112" s="262">
        <f>+Linkin!H91</f>
        <v>1327098</v>
      </c>
      <c r="J112" s="150"/>
      <c r="K112" s="163">
        <f>ROUND(VLOOKUP($G112,factors,+K$376)*$I112,0)</f>
        <v>0</v>
      </c>
      <c r="L112" s="150"/>
      <c r="M112" s="163">
        <f>ROUND(VLOOKUP($G112,factors,+M$376)*$I112,0)</f>
        <v>0</v>
      </c>
      <c r="N112" s="162"/>
      <c r="O112" s="163">
        <f>ROUND(VLOOKUP($G112,factors,+O$376)*$I112,0)</f>
        <v>0</v>
      </c>
      <c r="P112" s="163"/>
      <c r="Q112" s="163">
        <f>ROUND(VLOOKUP($G112,factors,+Q$376)*$I112,0)</f>
        <v>0</v>
      </c>
      <c r="R112" s="162"/>
      <c r="S112" s="163">
        <f>ROUND(VLOOKUP($G112,factors,+S$376)*$I112,0)</f>
        <v>0</v>
      </c>
      <c r="T112" s="163"/>
      <c r="U112" s="163">
        <f>ROUND(VLOOKUP($G112,factors,+U$376)*$I112,0)</f>
        <v>0</v>
      </c>
      <c r="V112" s="163"/>
      <c r="W112" s="163">
        <f>ROUND(VLOOKUP($G112,factors,+W$376)*$I112,0)</f>
        <v>1185762</v>
      </c>
      <c r="X112" s="163"/>
      <c r="Y112" s="163">
        <f>ROUND(VLOOKUP($G112,factors,+Y$376)*$I112,0)</f>
        <v>136426</v>
      </c>
      <c r="Z112" s="163"/>
      <c r="AA112" s="163">
        <f>ROUND(VLOOKUP($G112,factors,+AA$376)*$I112,0)</f>
        <v>3052</v>
      </c>
      <c r="AB112" s="163"/>
      <c r="AC112" s="163">
        <f>ROUND(VLOOKUP($G112,factors,+AC$376)*$I112,0)</f>
        <v>929</v>
      </c>
      <c r="AD112" s="163"/>
      <c r="AE112" s="163">
        <f>ROUND(VLOOKUP($G112,factors,+AE$376)*$I112,0)</f>
        <v>133</v>
      </c>
      <c r="AF112" s="163"/>
      <c r="AG112" s="163">
        <f>ROUND(VLOOKUP($G112,factors,+AG$376)*$I112,0)</f>
        <v>796</v>
      </c>
      <c r="AH112" s="150"/>
      <c r="AI112" s="157">
        <f t="shared" si="76"/>
        <v>0</v>
      </c>
    </row>
    <row r="113" spans="1:44">
      <c r="A113" s="154"/>
      <c r="B113" s="165"/>
      <c r="C113" s="159">
        <v>910</v>
      </c>
      <c r="E113" s="222" t="s">
        <v>87</v>
      </c>
      <c r="F113" s="222"/>
      <c r="G113" s="261">
        <v>7</v>
      </c>
      <c r="H113" s="222"/>
      <c r="I113" s="262">
        <f>+Linkin!H92-I114</f>
        <v>-5617186.9912817255</v>
      </c>
      <c r="J113" s="150"/>
      <c r="K113" s="163"/>
      <c r="L113" s="150"/>
      <c r="M113" s="163"/>
      <c r="N113" s="162"/>
      <c r="O113" s="163"/>
      <c r="P113" s="163"/>
      <c r="Q113" s="163"/>
      <c r="R113" s="162"/>
      <c r="S113" s="163"/>
      <c r="T113" s="163"/>
      <c r="U113" s="163"/>
      <c r="V113" s="163"/>
      <c r="W113" s="163">
        <f>ROUND(VLOOKUP($G113,factors,+W$376)*$I113,0)</f>
        <v>-5018957</v>
      </c>
      <c r="X113" s="163"/>
      <c r="Y113" s="163">
        <f>ROUND(VLOOKUP($G113,factors,+Y$376)*$I113,0)</f>
        <v>-577447</v>
      </c>
      <c r="Z113" s="163"/>
      <c r="AA113" s="163">
        <f>ROUND(VLOOKUP($G113,factors,+AA$376)*$I113,0)</f>
        <v>-12920</v>
      </c>
      <c r="AB113" s="163"/>
      <c r="AC113" s="163">
        <f>ROUND(VLOOKUP($G113,factors,+AC$376)*$I113,0)</f>
        <v>-3932</v>
      </c>
      <c r="AD113" s="163"/>
      <c r="AE113" s="163">
        <f>ROUND(VLOOKUP($G113,factors,+AE$376)*$I113,0)</f>
        <v>-562</v>
      </c>
      <c r="AF113" s="163"/>
      <c r="AG113" s="163">
        <f>ROUND(VLOOKUP($G113,factors,+AG$376)*$I113,0)</f>
        <v>-3370</v>
      </c>
      <c r="AH113" s="150"/>
      <c r="AI113" s="157">
        <f t="shared" ref="AI113" si="77">SUM(K113:AG113)-I113</f>
        <v>-1.0087182745337486</v>
      </c>
    </row>
    <row r="114" spans="1:44">
      <c r="C114" s="159">
        <v>910.1</v>
      </c>
      <c r="E114" s="260" t="s">
        <v>628</v>
      </c>
      <c r="F114" s="222"/>
      <c r="G114" s="261">
        <v>7</v>
      </c>
      <c r="H114" s="246"/>
      <c r="I114" s="262">
        <f>+K114+M114+O114+Q114</f>
        <v>7922909.9912817255</v>
      </c>
      <c r="J114" s="150"/>
      <c r="K114" s="397">
        <v>6261449.6423822939</v>
      </c>
      <c r="L114" s="397"/>
      <c r="M114" s="397">
        <v>1641960.959779511</v>
      </c>
      <c r="N114" s="397"/>
      <c r="O114" s="397">
        <v>4351.2038211750878</v>
      </c>
      <c r="P114" s="397"/>
      <c r="Q114" s="397">
        <v>15148.185298745346</v>
      </c>
      <c r="R114" s="162"/>
      <c r="S114" s="160"/>
      <c r="T114" s="163"/>
      <c r="U114" s="160"/>
      <c r="V114" s="163"/>
      <c r="W114" s="160"/>
      <c r="X114" s="163"/>
      <c r="Y114" s="160"/>
      <c r="Z114" s="163"/>
      <c r="AA114" s="160"/>
      <c r="AB114" s="163"/>
      <c r="AC114" s="160"/>
      <c r="AD114" s="163"/>
      <c r="AE114" s="160"/>
      <c r="AF114" s="163"/>
      <c r="AG114" s="160"/>
      <c r="AH114" s="150"/>
      <c r="AI114" s="157">
        <f t="shared" si="76"/>
        <v>0</v>
      </c>
      <c r="AJ114" s="150"/>
    </row>
    <row r="115" spans="1:44" ht="15.75">
      <c r="E115" s="476" t="s">
        <v>234</v>
      </c>
      <c r="F115" s="476"/>
      <c r="G115" s="477"/>
      <c r="H115" s="476"/>
      <c r="I115" s="481">
        <f>SUM(I110:I114)</f>
        <v>5466904</v>
      </c>
      <c r="J115" s="27"/>
      <c r="K115" s="39">
        <f>SUM(K110:K114)</f>
        <v>6261449.6423822939</v>
      </c>
      <c r="L115" s="27"/>
      <c r="M115" s="39">
        <f>SUM(M110:M114)</f>
        <v>1641960.959779511</v>
      </c>
      <c r="N115" s="27"/>
      <c r="O115" s="39">
        <f>SUM(O110:O114)</f>
        <v>4351.2038211750878</v>
      </c>
      <c r="P115" s="48"/>
      <c r="Q115" s="39">
        <f>SUM(Q110:Q114)</f>
        <v>15148.185298745346</v>
      </c>
      <c r="R115" s="27"/>
      <c r="S115" s="39">
        <f>SUM(S110:S114)</f>
        <v>0</v>
      </c>
      <c r="T115" s="48"/>
      <c r="U115" s="39">
        <f>SUM(U110:U114)</f>
        <v>0</v>
      </c>
      <c r="V115" s="27"/>
      <c r="W115" s="39">
        <f>SUM(W110:W114)</f>
        <v>-2020255</v>
      </c>
      <c r="X115" s="27"/>
      <c r="Y115" s="39">
        <f>SUM(Y110:Y114)</f>
        <v>-420613</v>
      </c>
      <c r="Z115" s="27"/>
      <c r="AA115" s="39">
        <f>SUM(AA110:AA114)</f>
        <v>-9411</v>
      </c>
      <c r="AB115" s="48"/>
      <c r="AC115" s="39">
        <f>SUM(AC110:AC114)</f>
        <v>-2864</v>
      </c>
      <c r="AD115" s="27"/>
      <c r="AE115" s="39">
        <f>SUM(AE110:AE114)</f>
        <v>-409</v>
      </c>
      <c r="AF115" s="27"/>
      <c r="AG115" s="39">
        <f>SUM(AG110:AG114)</f>
        <v>-2455</v>
      </c>
      <c r="AH115" s="40"/>
      <c r="AI115" s="157">
        <f t="shared" si="76"/>
        <v>-1.0087182745337486</v>
      </c>
    </row>
    <row r="116" spans="1:44">
      <c r="E116" s="222"/>
      <c r="F116" s="222"/>
      <c r="G116" s="261"/>
      <c r="H116" s="222"/>
      <c r="I116" s="490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I116" s="157">
        <f t="shared" si="76"/>
        <v>0</v>
      </c>
    </row>
    <row r="117" spans="1:44" ht="15.75">
      <c r="C117" s="27" t="s">
        <v>235</v>
      </c>
      <c r="E117" s="222"/>
      <c r="F117" s="222"/>
      <c r="G117" s="261"/>
      <c r="H117" s="222"/>
      <c r="I117" s="490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I117" s="157">
        <f t="shared" si="76"/>
        <v>0</v>
      </c>
    </row>
    <row r="118" spans="1:44" ht="3.75" customHeight="1">
      <c r="C118" s="149" t="s">
        <v>217</v>
      </c>
      <c r="E118" s="222" t="s">
        <v>218</v>
      </c>
      <c r="F118" s="222"/>
      <c r="G118" s="261"/>
      <c r="H118" s="222"/>
      <c r="I118" s="490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I118" s="157">
        <f t="shared" si="76"/>
        <v>0</v>
      </c>
    </row>
    <row r="119" spans="1:44">
      <c r="C119" s="149" t="s">
        <v>217</v>
      </c>
      <c r="E119" s="475" t="s">
        <v>206</v>
      </c>
      <c r="F119" s="222"/>
      <c r="G119" s="261"/>
      <c r="H119" s="222"/>
      <c r="I119" s="490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I119" s="157">
        <f t="shared" si="76"/>
        <v>0</v>
      </c>
    </row>
    <row r="120" spans="1:44" s="47" customFormat="1">
      <c r="A120" s="149"/>
      <c r="B120" s="149"/>
      <c r="C120" s="159">
        <v>911</v>
      </c>
      <c r="D120" s="149"/>
      <c r="E120" s="222" t="s">
        <v>167</v>
      </c>
      <c r="F120" s="222"/>
      <c r="G120" s="261">
        <v>8</v>
      </c>
      <c r="H120" s="222"/>
      <c r="I120" s="484">
        <f>+Linkin!H96</f>
        <v>54503</v>
      </c>
      <c r="J120" s="150"/>
      <c r="K120" s="163">
        <f>ROUND(VLOOKUP($G120,factors,+K$376)*$I120,0)</f>
        <v>0</v>
      </c>
      <c r="L120" s="163"/>
      <c r="M120" s="163">
        <f>ROUND(VLOOKUP($G120,factors,+M$376)*$I120,0)</f>
        <v>0</v>
      </c>
      <c r="N120" s="163"/>
      <c r="O120" s="163">
        <f>ROUND(VLOOKUP($G120,factors,+O$376)*$I120,0)</f>
        <v>0</v>
      </c>
      <c r="P120" s="163"/>
      <c r="Q120" s="163">
        <f>ROUND(VLOOKUP($G120,factors,+Q$376)*$I120,0)</f>
        <v>0</v>
      </c>
      <c r="R120" s="162"/>
      <c r="S120" s="163">
        <f>ROUND(VLOOKUP($G120,factors,+S$376)*$I120,0)</f>
        <v>0</v>
      </c>
      <c r="T120" s="163"/>
      <c r="U120" s="163">
        <f>ROUND(VLOOKUP($G120,factors,+U$376)*$I120,0)</f>
        <v>0</v>
      </c>
      <c r="V120" s="163"/>
      <c r="W120" s="163">
        <f>ROUND(VLOOKUP($G120,factors,+W$376)*$I120,0)</f>
        <v>48878</v>
      </c>
      <c r="X120" s="163"/>
      <c r="Y120" s="163">
        <f>ROUND(VLOOKUP($G120,factors,+Y$376)*$I120,0)</f>
        <v>5625</v>
      </c>
      <c r="Z120" s="163"/>
      <c r="AA120" s="163">
        <f>ROUND(VLOOKUP($G120,factors,+AA$376)*$I120,0)</f>
        <v>0</v>
      </c>
      <c r="AB120" s="163"/>
      <c r="AC120" s="163">
        <f>ROUND(VLOOKUP($G120,factors,+AC$376)*$I120,0)</f>
        <v>0</v>
      </c>
      <c r="AD120" s="163"/>
      <c r="AE120" s="163">
        <f>ROUND(VLOOKUP($G120,factors,+AE$376)*$I120,0)</f>
        <v>0</v>
      </c>
      <c r="AF120" s="163"/>
      <c r="AG120" s="163">
        <f>ROUND(VLOOKUP($G120,factors,+AG$376)*$I120,0)</f>
        <v>0</v>
      </c>
      <c r="AH120" s="163"/>
      <c r="AI120" s="157">
        <f t="shared" si="76"/>
        <v>0</v>
      </c>
      <c r="AJ120" s="150"/>
      <c r="AK120" s="149"/>
    </row>
    <row r="121" spans="1:44">
      <c r="A121" s="287"/>
      <c r="B121" s="287"/>
      <c r="C121" s="159">
        <v>912</v>
      </c>
      <c r="E121" s="260" t="s">
        <v>89</v>
      </c>
      <c r="F121" s="222"/>
      <c r="G121" s="261">
        <v>8</v>
      </c>
      <c r="H121" s="246"/>
      <c r="I121" s="484">
        <f>+Linkin!H97-I122</f>
        <v>1838016</v>
      </c>
      <c r="J121" s="484"/>
      <c r="K121" s="397">
        <f>ROUND(VLOOKUP($G121,factors,+K$376)*$I121,0)</f>
        <v>0</v>
      </c>
      <c r="L121" s="397"/>
      <c r="M121" s="397">
        <f>ROUND(VLOOKUP($G121,factors,+M$376)*$I121,0)</f>
        <v>0</v>
      </c>
      <c r="N121" s="397"/>
      <c r="O121" s="397">
        <f>ROUND(VLOOKUP($G121,factors,+O$376)*$I121,0)</f>
        <v>0</v>
      </c>
      <c r="P121" s="397"/>
      <c r="Q121" s="397">
        <f>ROUND(VLOOKUP($G121,factors,+Q$376)*$I121,0)</f>
        <v>0</v>
      </c>
      <c r="R121" s="948"/>
      <c r="S121" s="397">
        <f>ROUND(VLOOKUP($G121,factors,+S$376)*$I121,0)</f>
        <v>0</v>
      </c>
      <c r="T121" s="397"/>
      <c r="U121" s="397">
        <f>ROUND(VLOOKUP($G121,factors,+U$376)*$I121,0)</f>
        <v>0</v>
      </c>
      <c r="V121" s="397"/>
      <c r="W121" s="397">
        <f>ROUND(VLOOKUP($G121,factors,+W$376)*$I121,0)</f>
        <v>1648333</v>
      </c>
      <c r="X121" s="397"/>
      <c r="Y121" s="397">
        <f>ROUND(VLOOKUP($G121,factors,+Y$376)*$I121,0)</f>
        <v>189683</v>
      </c>
      <c r="Z121" s="397"/>
      <c r="AA121" s="397">
        <f>ROUND(VLOOKUP($G121,factors,+AA$376)*$I121,0)</f>
        <v>0</v>
      </c>
      <c r="AB121" s="397"/>
      <c r="AC121" s="397">
        <f>ROUND(VLOOKUP($G121,factors,+AC$376)*$I121,0)</f>
        <v>0</v>
      </c>
      <c r="AD121" s="397"/>
      <c r="AE121" s="397">
        <f>ROUND(VLOOKUP($G121,factors,+AE$376)*$I121,0)</f>
        <v>0</v>
      </c>
      <c r="AF121" s="397"/>
      <c r="AG121" s="397">
        <f>ROUND(VLOOKUP($G121,factors,+AG$376)*$I121,0)</f>
        <v>0</v>
      </c>
      <c r="AH121" s="397"/>
      <c r="AI121" s="286">
        <f t="shared" si="76"/>
        <v>0</v>
      </c>
      <c r="AJ121" s="246"/>
      <c r="AK121" s="246"/>
      <c r="AL121" s="104"/>
      <c r="AM121" s="104"/>
      <c r="AN121" s="104"/>
      <c r="AO121" s="104"/>
      <c r="AP121" s="104"/>
      <c r="AQ121" s="104"/>
      <c r="AR121" s="104"/>
    </row>
    <row r="122" spans="1:44">
      <c r="A122" s="287"/>
      <c r="B122" s="287"/>
      <c r="C122" s="159"/>
      <c r="E122" s="260"/>
      <c r="F122" s="222"/>
      <c r="G122" s="392"/>
      <c r="H122" s="246"/>
      <c r="I122" s="484">
        <v>0</v>
      </c>
      <c r="J122" s="484"/>
      <c r="K122" s="397"/>
      <c r="L122" s="397"/>
      <c r="M122" s="397"/>
      <c r="N122" s="397"/>
      <c r="O122" s="397"/>
      <c r="P122" s="397"/>
      <c r="Q122" s="397"/>
      <c r="R122" s="948"/>
      <c r="S122" s="397"/>
      <c r="T122" s="397"/>
      <c r="U122" s="397"/>
      <c r="V122" s="397"/>
      <c r="W122" s="397">
        <f>+I122-Y122-AA122-AC122</f>
        <v>0</v>
      </c>
      <c r="X122" s="397"/>
      <c r="Y122" s="397"/>
      <c r="Z122" s="397"/>
      <c r="AA122" s="397"/>
      <c r="AB122" s="397"/>
      <c r="AC122" s="397">
        <v>0</v>
      </c>
      <c r="AD122" s="397"/>
      <c r="AE122" s="397">
        <v>0</v>
      </c>
      <c r="AF122" s="397"/>
      <c r="AG122" s="397">
        <v>0</v>
      </c>
      <c r="AH122" s="397"/>
      <c r="AI122" s="286">
        <f t="shared" si="76"/>
        <v>0</v>
      </c>
      <c r="AJ122" s="246"/>
      <c r="AK122" s="246"/>
      <c r="AL122" s="104"/>
      <c r="AM122" s="104"/>
      <c r="AN122" s="104"/>
      <c r="AO122" s="104"/>
      <c r="AP122" s="104"/>
      <c r="AQ122" s="104"/>
      <c r="AR122" s="104"/>
    </row>
    <row r="123" spans="1:44">
      <c r="A123" s="287"/>
      <c r="B123" s="287"/>
      <c r="C123" s="159">
        <v>913</v>
      </c>
      <c r="E123" s="222" t="s">
        <v>312</v>
      </c>
      <c r="F123" s="222"/>
      <c r="G123" s="261">
        <v>8</v>
      </c>
      <c r="H123" s="246"/>
      <c r="I123" s="484">
        <f>+Linkin!H98</f>
        <v>440683</v>
      </c>
      <c r="J123" s="150"/>
      <c r="K123" s="163">
        <f>ROUND(VLOOKUP($G123,factors,+K$376)*$I123,0)</f>
        <v>0</v>
      </c>
      <c r="L123" s="150"/>
      <c r="M123" s="163">
        <f>ROUND(VLOOKUP($G123,factors,+M$376)*$I123,0)</f>
        <v>0</v>
      </c>
      <c r="N123" s="150"/>
      <c r="O123" s="163">
        <f>ROUND(VLOOKUP($G123,factors,+O$376)*$I123,0)</f>
        <v>0</v>
      </c>
      <c r="P123" s="163"/>
      <c r="Q123" s="163">
        <f>ROUND(VLOOKUP($G123,factors,+Q$376)*$I123,0)</f>
        <v>0</v>
      </c>
      <c r="R123" s="150"/>
      <c r="S123" s="163">
        <f>ROUND(VLOOKUP($G123,factors,+S$376)*$I123,0)</f>
        <v>0</v>
      </c>
      <c r="T123" s="163"/>
      <c r="U123" s="163">
        <f>ROUND(VLOOKUP($G123,factors,+U$376)*$I123,0)</f>
        <v>0</v>
      </c>
      <c r="V123" s="150"/>
      <c r="W123" s="163">
        <f>ROUND(VLOOKUP($G123,factors,+W$376)*$I123,0)</f>
        <v>395205</v>
      </c>
      <c r="X123" s="150"/>
      <c r="Y123" s="163">
        <f>ROUND(VLOOKUP($G123,factors,+Y$376)*$I123,0)</f>
        <v>45478</v>
      </c>
      <c r="Z123" s="163"/>
      <c r="AA123" s="163">
        <f>ROUND(VLOOKUP($G123,factors,+AA$376)*$I123,0)</f>
        <v>0</v>
      </c>
      <c r="AB123" s="163"/>
      <c r="AC123" s="163">
        <f>ROUND(VLOOKUP($G123,factors,+AC$376)*$I123,0)</f>
        <v>0</v>
      </c>
      <c r="AD123" s="150"/>
      <c r="AE123" s="163">
        <f>ROUND(VLOOKUP($G123,factors,+AE$376)*$I123,0)</f>
        <v>0</v>
      </c>
      <c r="AF123" s="150"/>
      <c r="AG123" s="163">
        <f>ROUND(VLOOKUP($G123,factors,+AG$376)*$I123,0)</f>
        <v>0</v>
      </c>
      <c r="AH123" s="150"/>
      <c r="AI123" s="157">
        <f t="shared" si="76"/>
        <v>0</v>
      </c>
      <c r="AJ123" s="150"/>
      <c r="AK123" s="150"/>
    </row>
    <row r="124" spans="1:44" s="47" customFormat="1">
      <c r="A124" s="287"/>
      <c r="B124" s="287"/>
      <c r="C124" s="159">
        <v>916</v>
      </c>
      <c r="D124" s="149"/>
      <c r="E124" s="222" t="s">
        <v>387</v>
      </c>
      <c r="F124" s="222"/>
      <c r="G124" s="261">
        <v>8</v>
      </c>
      <c r="H124" s="222"/>
      <c r="I124" s="485">
        <f>+Linkin!H101</f>
        <v>198908</v>
      </c>
      <c r="J124" s="150"/>
      <c r="K124" s="160">
        <f>ROUND(VLOOKUP($G124,factors,+K$376)*$I124,0)</f>
        <v>0</v>
      </c>
      <c r="L124" s="150"/>
      <c r="M124" s="160"/>
      <c r="N124" s="150"/>
      <c r="O124" s="160"/>
      <c r="P124" s="163"/>
      <c r="Q124" s="160"/>
      <c r="R124" s="150"/>
      <c r="S124" s="160">
        <f>ROUND(VLOOKUP($G124,factors,+S$376)*$I124,0)</f>
        <v>0</v>
      </c>
      <c r="T124" s="163"/>
      <c r="U124" s="160">
        <f>ROUND(VLOOKUP($G124,factors,+U$376)*$I124,0)</f>
        <v>0</v>
      </c>
      <c r="V124" s="150"/>
      <c r="W124" s="160">
        <f>ROUND(VLOOKUP($G124,factors,+W$376)*$I124,0)</f>
        <v>178381</v>
      </c>
      <c r="X124" s="150"/>
      <c r="Y124" s="160">
        <f>ROUND(VLOOKUP($G124,factors,+Y$376)*$I124,0)</f>
        <v>20527</v>
      </c>
      <c r="Z124" s="163"/>
      <c r="AA124" s="160">
        <f>ROUND(VLOOKUP($G124,factors,+AA$376)*$I124,0)</f>
        <v>0</v>
      </c>
      <c r="AB124" s="163"/>
      <c r="AC124" s="160">
        <f>ROUND(VLOOKUP($G124,factors,+AC$376)*$I124,0)</f>
        <v>0</v>
      </c>
      <c r="AD124" s="150"/>
      <c r="AE124" s="160">
        <f>ROUND(VLOOKUP($G124,factors,+AE$376)*$I124,0)</f>
        <v>0</v>
      </c>
      <c r="AF124" s="150"/>
      <c r="AG124" s="160">
        <f>ROUND(VLOOKUP($G124,factors,+AG$376)*$I124,0)</f>
        <v>0</v>
      </c>
      <c r="AH124" s="150"/>
      <c r="AI124" s="157">
        <f t="shared" si="76"/>
        <v>0</v>
      </c>
      <c r="AJ124" s="150"/>
      <c r="AK124" s="149"/>
    </row>
    <row r="125" spans="1:44" ht="15.75">
      <c r="A125" s="287"/>
      <c r="B125" s="287"/>
      <c r="E125" s="476" t="s">
        <v>236</v>
      </c>
      <c r="F125" s="476"/>
      <c r="G125" s="477"/>
      <c r="H125" s="476"/>
      <c r="I125" s="478">
        <f>SUM(I120:I124)</f>
        <v>2532110</v>
      </c>
      <c r="J125" s="27"/>
      <c r="K125" s="39">
        <f>SUM(K120:K124)</f>
        <v>0</v>
      </c>
      <c r="L125" s="27"/>
      <c r="M125" s="39">
        <f>SUM(M120:M124)</f>
        <v>0</v>
      </c>
      <c r="N125" s="27"/>
      <c r="O125" s="39">
        <f>SUM(O120:O124)</f>
        <v>0</v>
      </c>
      <c r="P125" s="48"/>
      <c r="Q125" s="39">
        <f>SUM(Q120:Q124)</f>
        <v>0</v>
      </c>
      <c r="R125" s="27"/>
      <c r="S125" s="39">
        <f>SUM(S120:S124)</f>
        <v>0</v>
      </c>
      <c r="T125" s="48"/>
      <c r="U125" s="39">
        <f>SUM(U120:U124)</f>
        <v>0</v>
      </c>
      <c r="V125" s="27"/>
      <c r="W125" s="39">
        <f>SUM(W120:W124)</f>
        <v>2270797</v>
      </c>
      <c r="X125" s="27"/>
      <c r="Y125" s="39">
        <f>SUM(Y120:Y124)</f>
        <v>261313</v>
      </c>
      <c r="Z125" s="27"/>
      <c r="AA125" s="39">
        <f>SUM(AA120:AA124)</f>
        <v>0</v>
      </c>
      <c r="AB125" s="48"/>
      <c r="AC125" s="39">
        <f>SUM(AC120:AC124)</f>
        <v>0</v>
      </c>
      <c r="AD125" s="27"/>
      <c r="AE125" s="39">
        <f>SUM(AE120:AE124)</f>
        <v>0</v>
      </c>
      <c r="AF125" s="27"/>
      <c r="AG125" s="39">
        <f>SUM(AG120:AG124)</f>
        <v>0</v>
      </c>
      <c r="AH125" s="27"/>
      <c r="AI125" s="157">
        <f t="shared" si="76"/>
        <v>0</v>
      </c>
    </row>
    <row r="126" spans="1:44" ht="19.5" customHeight="1">
      <c r="B126" s="155"/>
      <c r="E126" s="222"/>
      <c r="F126" s="222"/>
      <c r="G126" s="261"/>
      <c r="H126" s="222"/>
      <c r="I126" s="490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I126" s="157">
        <f t="shared" si="76"/>
        <v>0</v>
      </c>
    </row>
    <row r="127" spans="1:44" ht="15.75">
      <c r="C127" s="27" t="s">
        <v>237</v>
      </c>
      <c r="E127" s="222"/>
      <c r="F127" s="222"/>
      <c r="G127" s="261"/>
      <c r="H127" s="222"/>
      <c r="I127" s="490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I127" s="157">
        <f t="shared" si="76"/>
        <v>0</v>
      </c>
    </row>
    <row r="128" spans="1:44" ht="3.75" customHeight="1">
      <c r="C128" s="149" t="s">
        <v>217</v>
      </c>
      <c r="E128" s="222" t="s">
        <v>218</v>
      </c>
      <c r="F128" s="222"/>
      <c r="G128" s="261"/>
      <c r="H128" s="222"/>
      <c r="I128" s="490"/>
      <c r="AI128" s="157">
        <f t="shared" si="76"/>
        <v>0</v>
      </c>
    </row>
    <row r="129" spans="1:35">
      <c r="C129" s="149" t="s">
        <v>217</v>
      </c>
      <c r="E129" s="475" t="s">
        <v>206</v>
      </c>
      <c r="F129" s="222"/>
      <c r="G129" s="261"/>
      <c r="H129" s="222"/>
      <c r="I129" s="490"/>
      <c r="AI129" s="157">
        <f t="shared" si="76"/>
        <v>0</v>
      </c>
    </row>
    <row r="130" spans="1:35">
      <c r="C130" s="159">
        <v>920</v>
      </c>
      <c r="E130" s="222" t="s">
        <v>222</v>
      </c>
      <c r="F130" s="222"/>
      <c r="G130" s="261">
        <v>12</v>
      </c>
      <c r="H130" s="222"/>
      <c r="I130" s="262">
        <f>+Linkin!H106</f>
        <v>20687369</v>
      </c>
      <c r="K130" s="156">
        <f>ROUND(VLOOKUP($G130,factors,+K$376)*$I130,0)</f>
        <v>6108980</v>
      </c>
      <c r="M130" s="156">
        <f>ROUND(VLOOKUP($G130,factors,+M$376)*$I130,0)</f>
        <v>2043912</v>
      </c>
      <c r="N130" s="156"/>
      <c r="O130" s="156">
        <f>ROUND(VLOOKUP($G130,factors,+O$376)*$I130,0)</f>
        <v>477878</v>
      </c>
      <c r="P130" s="156"/>
      <c r="Q130" s="156">
        <f>ROUND(VLOOKUP($G130,factors,+Q$376)*$I130,0)</f>
        <v>473741</v>
      </c>
      <c r="R130" s="156"/>
      <c r="S130" s="155">
        <f>ROUND(VLOOKUP($G130,factors,+S$376)*$I130,0)</f>
        <v>817151</v>
      </c>
      <c r="T130" s="155"/>
      <c r="U130" s="155">
        <f>ROUND(VLOOKUP($G130,factors,+U$376)*$I130,0)</f>
        <v>289623</v>
      </c>
      <c r="V130" s="155"/>
      <c r="W130" s="155">
        <f>ROUND(VLOOKUP($G130,factors,+W$376)*$I130,0)</f>
        <v>8341147</v>
      </c>
      <c r="X130" s="155"/>
      <c r="Y130" s="155">
        <f>ROUND(VLOOKUP($G130,factors,+Y$376)*$I130,0)</f>
        <v>1584652</v>
      </c>
      <c r="Z130" s="155"/>
      <c r="AA130" s="155">
        <f>ROUND(VLOOKUP($G130,factors,+AA$376)*$I130,0)</f>
        <v>252386</v>
      </c>
      <c r="AB130" s="155"/>
      <c r="AC130" s="155">
        <f>ROUND(VLOOKUP($G130,factors,+AC$376)*$I130,0)</f>
        <v>169636</v>
      </c>
      <c r="AD130" s="155"/>
      <c r="AE130" s="155">
        <f>ROUND(VLOOKUP($G130,factors,+AE$376)*$I130,0)</f>
        <v>35169</v>
      </c>
      <c r="AF130" s="155"/>
      <c r="AG130" s="155">
        <f>ROUND(VLOOKUP($G130,factors,+AG$376)*$I130,0)</f>
        <v>93093</v>
      </c>
      <c r="AI130" s="157">
        <f t="shared" ref="AI130:AI146" si="78">SUM(K130:AG130)-I130</f>
        <v>-1</v>
      </c>
    </row>
    <row r="131" spans="1:35">
      <c r="C131" s="159">
        <v>921</v>
      </c>
      <c r="E131" s="260" t="s">
        <v>542</v>
      </c>
      <c r="F131" s="222"/>
      <c r="G131" s="261">
        <v>12</v>
      </c>
      <c r="H131" s="222"/>
      <c r="I131" s="262">
        <f>+Linkin!H107</f>
        <v>26248413</v>
      </c>
      <c r="K131" s="156">
        <f>ROUND(VLOOKUP($G131,factors,+K$376)*$I131,0)</f>
        <v>7751156</v>
      </c>
      <c r="M131" s="156">
        <f>ROUND(VLOOKUP($G131,factors,+M$376)*$I131,0)</f>
        <v>2593343</v>
      </c>
      <c r="N131" s="156"/>
      <c r="O131" s="156">
        <f>ROUND(VLOOKUP($G131,factors,+O$376)*$I131,0)</f>
        <v>606338</v>
      </c>
      <c r="P131" s="156"/>
      <c r="Q131" s="156">
        <f>ROUND(VLOOKUP($G131,factors,+Q$376)*$I131,0)</f>
        <v>601089</v>
      </c>
      <c r="R131" s="156"/>
      <c r="S131" s="155">
        <f>ROUND(VLOOKUP($G131,factors,+S$376)*$I131,0)</f>
        <v>1036812</v>
      </c>
      <c r="T131" s="155"/>
      <c r="U131" s="155">
        <f>ROUND(VLOOKUP($G131,factors,+U$376)*$I131,0)</f>
        <v>367478</v>
      </c>
      <c r="V131" s="155"/>
      <c r="W131" s="155">
        <f>ROUND(VLOOKUP($G131,factors,+W$376)*$I131,0)</f>
        <v>10583360</v>
      </c>
      <c r="X131" s="155"/>
      <c r="Y131" s="155">
        <f>ROUND(VLOOKUP($G131,factors,+Y$376)*$I131,0)</f>
        <v>2010628</v>
      </c>
      <c r="Z131" s="155"/>
      <c r="AA131" s="155">
        <f>ROUND(VLOOKUP($G131,factors,+AA$376)*$I131,0)</f>
        <v>320231</v>
      </c>
      <c r="AB131" s="155"/>
      <c r="AC131" s="155">
        <f>ROUND(VLOOKUP($G131,factors,+AC$376)*$I131,0)</f>
        <v>215237</v>
      </c>
      <c r="AD131" s="155"/>
      <c r="AE131" s="155">
        <f>ROUND(VLOOKUP($G131,factors,+AE$376)*$I131,0)</f>
        <v>44622</v>
      </c>
      <c r="AF131" s="155"/>
      <c r="AG131" s="155">
        <f>ROUND(VLOOKUP($G131,factors,+AG$376)*$I131,0)</f>
        <v>118118</v>
      </c>
      <c r="AI131" s="157">
        <f t="shared" si="78"/>
        <v>-1</v>
      </c>
    </row>
    <row r="132" spans="1:35">
      <c r="A132" s="287"/>
      <c r="C132" s="261">
        <v>922</v>
      </c>
      <c r="D132" s="222"/>
      <c r="E132" s="949" t="s">
        <v>815</v>
      </c>
      <c r="F132" s="222"/>
      <c r="G132" s="261"/>
      <c r="H132" s="222"/>
      <c r="I132" s="262"/>
      <c r="K132" s="156"/>
      <c r="M132" s="156"/>
      <c r="N132" s="156"/>
      <c r="O132" s="156"/>
      <c r="P132" s="156"/>
      <c r="Q132" s="156"/>
      <c r="R132" s="156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I132" s="157"/>
    </row>
    <row r="133" spans="1:35">
      <c r="C133" s="261">
        <v>923</v>
      </c>
      <c r="D133" s="222"/>
      <c r="E133" s="222" t="s">
        <v>356</v>
      </c>
      <c r="F133" s="222"/>
      <c r="G133" s="261">
        <v>12</v>
      </c>
      <c r="H133" s="222"/>
      <c r="I133" s="262">
        <f>+Linkin!H109</f>
        <v>20904796</v>
      </c>
      <c r="K133" s="156">
        <f>ROUND(VLOOKUP($G133,factors,+K$376)*$I133,0)</f>
        <v>6173186</v>
      </c>
      <c r="M133" s="156">
        <f>ROUND(VLOOKUP($G133,factors,+M$376)*$I133,0)</f>
        <v>2065394</v>
      </c>
      <c r="N133" s="156"/>
      <c r="O133" s="156">
        <f>ROUND(VLOOKUP($G133,factors,+O$376)*$I133,0)</f>
        <v>482901</v>
      </c>
      <c r="P133" s="156"/>
      <c r="Q133" s="156">
        <f>ROUND(VLOOKUP($G133,factors,+Q$376)*$I133,0)</f>
        <v>478720</v>
      </c>
      <c r="R133" s="156"/>
      <c r="S133" s="155">
        <f>ROUND(VLOOKUP($G133,factors,+S$376)*$I133,0)</f>
        <v>825739</v>
      </c>
      <c r="T133" s="155"/>
      <c r="U133" s="155">
        <f>ROUND(VLOOKUP($G133,factors,+U$376)*$I133,0)</f>
        <v>292667</v>
      </c>
      <c r="V133" s="155"/>
      <c r="W133" s="155">
        <f>ROUND(VLOOKUP($G133,factors,+W$376)*$I133,0)</f>
        <v>8428814</v>
      </c>
      <c r="X133" s="155"/>
      <c r="Y133" s="155">
        <f>ROUND(VLOOKUP($G133,factors,+Y$376)*$I133,0)</f>
        <v>1601307</v>
      </c>
      <c r="Z133" s="155"/>
      <c r="AA133" s="155">
        <f>ROUND(VLOOKUP($G133,factors,+AA$376)*$I133,0)</f>
        <v>255039</v>
      </c>
      <c r="AB133" s="155"/>
      <c r="AC133" s="155">
        <f>ROUND(VLOOKUP($G133,factors,+AC$376)*$I133,0)</f>
        <v>171419</v>
      </c>
      <c r="AD133" s="155"/>
      <c r="AE133" s="155">
        <f>ROUND(VLOOKUP($G133,factors,+AE$376)*$I133,0)</f>
        <v>35538</v>
      </c>
      <c r="AF133" s="155"/>
      <c r="AG133" s="155">
        <f>ROUND(VLOOKUP($G133,factors,+AG$376)*$I133,0)</f>
        <v>94072</v>
      </c>
      <c r="AI133" s="157">
        <f t="shared" si="78"/>
        <v>0</v>
      </c>
    </row>
    <row r="134" spans="1:35">
      <c r="C134" s="261">
        <v>924</v>
      </c>
      <c r="D134" s="222"/>
      <c r="E134" s="222" t="s">
        <v>223</v>
      </c>
      <c r="F134" s="222"/>
      <c r="G134" s="261">
        <v>12</v>
      </c>
      <c r="H134" s="222"/>
      <c r="I134" s="262">
        <f>+Linkin!H110</f>
        <v>179871</v>
      </c>
      <c r="K134" s="156">
        <f>ROUND(VLOOKUP($G134,factors,+K$376)*$I134,0)</f>
        <v>53116</v>
      </c>
      <c r="M134" s="156">
        <f>ROUND(VLOOKUP($G134,factors,+M$376)*$I134,0)</f>
        <v>17771</v>
      </c>
      <c r="N134" s="156"/>
      <c r="O134" s="156">
        <f>ROUND(VLOOKUP($G134,factors,+O$376)*$I134,0)</f>
        <v>4155</v>
      </c>
      <c r="P134" s="156"/>
      <c r="Q134" s="156">
        <f>ROUND(VLOOKUP($G134,factors,+Q$376)*$I134,0)</f>
        <v>4119</v>
      </c>
      <c r="R134" s="156"/>
      <c r="S134" s="155">
        <f>ROUND(VLOOKUP($G134,factors,+S$376)*$I134,0)</f>
        <v>7105</v>
      </c>
      <c r="T134" s="155"/>
      <c r="U134" s="155">
        <f>ROUND(VLOOKUP($G134,factors,+U$376)*$I134,0)</f>
        <v>2518</v>
      </c>
      <c r="V134" s="155"/>
      <c r="W134" s="155">
        <f>ROUND(VLOOKUP($G134,factors,+W$376)*$I134,0)</f>
        <v>72524</v>
      </c>
      <c r="X134" s="155"/>
      <c r="Y134" s="155">
        <f>ROUND(VLOOKUP($G134,factors,+Y$376)*$I134,0)</f>
        <v>13778</v>
      </c>
      <c r="Z134" s="155"/>
      <c r="AA134" s="155">
        <f>ROUND(VLOOKUP($G134,factors,+AA$376)*$I134,0)</f>
        <v>2194</v>
      </c>
      <c r="AB134" s="155"/>
      <c r="AC134" s="155">
        <f>ROUND(VLOOKUP($G134,factors,+AC$376)*$I134,0)</f>
        <v>1475</v>
      </c>
      <c r="AD134" s="155"/>
      <c r="AE134" s="155">
        <f>ROUND(VLOOKUP($G134,factors,+AE$376)*$I134,0)</f>
        <v>306</v>
      </c>
      <c r="AF134" s="155"/>
      <c r="AG134" s="155">
        <f>ROUND(VLOOKUP($G134,factors,+AG$376)*$I134,0)</f>
        <v>809</v>
      </c>
      <c r="AI134" s="157">
        <f t="shared" si="78"/>
        <v>-1</v>
      </c>
    </row>
    <row r="135" spans="1:35">
      <c r="C135" s="261">
        <v>925</v>
      </c>
      <c r="D135" s="222"/>
      <c r="E135" s="222" t="s">
        <v>276</v>
      </c>
      <c r="F135" s="222"/>
      <c r="G135" s="261">
        <v>12</v>
      </c>
      <c r="H135" s="222"/>
      <c r="I135" s="262">
        <f>+Linkin!H111</f>
        <v>8922956</v>
      </c>
      <c r="K135" s="156">
        <f>ROUND(VLOOKUP($G135,factors,+K$376)*$I135,0)</f>
        <v>2634949</v>
      </c>
      <c r="M135" s="156">
        <f>ROUND(VLOOKUP($G135,factors,+M$376)*$I135,0)</f>
        <v>881588</v>
      </c>
      <c r="N135" s="156"/>
      <c r="O135" s="156">
        <f>ROUND(VLOOKUP($G135,factors,+O$376)*$I135,0)</f>
        <v>206120</v>
      </c>
      <c r="P135" s="156"/>
      <c r="Q135" s="156">
        <f>ROUND(VLOOKUP($G135,factors,+Q$376)*$I135,0)</f>
        <v>204336</v>
      </c>
      <c r="R135" s="156"/>
      <c r="S135" s="155">
        <f>ROUND(VLOOKUP($G135,factors,+S$376)*$I135,0)</f>
        <v>352457</v>
      </c>
      <c r="T135" s="155"/>
      <c r="U135" s="155">
        <f>ROUND(VLOOKUP($G135,factors,+U$376)*$I135,0)</f>
        <v>124921</v>
      </c>
      <c r="V135" s="155"/>
      <c r="W135" s="155">
        <f>ROUND(VLOOKUP($G135,factors,+W$376)*$I135,0)</f>
        <v>3597736</v>
      </c>
      <c r="X135" s="155"/>
      <c r="Y135" s="155">
        <f>ROUND(VLOOKUP($G135,factors,+Y$376)*$I135,0)</f>
        <v>683498</v>
      </c>
      <c r="Z135" s="155"/>
      <c r="AA135" s="155">
        <f>ROUND(VLOOKUP($G135,factors,+AA$376)*$I135,0)</f>
        <v>108860</v>
      </c>
      <c r="AB135" s="155"/>
      <c r="AC135" s="155">
        <f>ROUND(VLOOKUP($G135,factors,+AC$376)*$I135,0)</f>
        <v>73168</v>
      </c>
      <c r="AD135" s="155"/>
      <c r="AE135" s="155">
        <f>ROUND(VLOOKUP($G135,factors,+AE$376)*$I135,0)</f>
        <v>15169</v>
      </c>
      <c r="AF135" s="155"/>
      <c r="AG135" s="155">
        <f>ROUND(VLOOKUP($G135,factors,+AG$376)*$I135,0)</f>
        <v>40153</v>
      </c>
      <c r="AI135" s="157">
        <f t="shared" si="78"/>
        <v>-1</v>
      </c>
    </row>
    <row r="136" spans="1:35">
      <c r="C136" s="261">
        <v>926</v>
      </c>
      <c r="D136" s="222"/>
      <c r="E136" s="222" t="s">
        <v>132</v>
      </c>
      <c r="F136" s="222"/>
      <c r="G136" s="261">
        <v>13</v>
      </c>
      <c r="H136" s="222"/>
      <c r="I136" s="262">
        <f>+Linkin!H112</f>
        <v>24492610</v>
      </c>
      <c r="K136" s="156">
        <f>ROUND(VLOOKUP($G136,factors,+K$376)*$I136,0)</f>
        <v>4795653</v>
      </c>
      <c r="M136" s="156">
        <f>ROUND(VLOOKUP($G136,factors,+M$376)*$I136,0)</f>
        <v>2167596</v>
      </c>
      <c r="N136" s="156"/>
      <c r="O136" s="156">
        <f>ROUND(VLOOKUP($G136,factors,+O$376)*$I136,0)</f>
        <v>558432</v>
      </c>
      <c r="P136" s="156"/>
      <c r="Q136" s="156">
        <f>ROUND(VLOOKUP($G136,factors,+Q$376)*$I136,0)</f>
        <v>553533</v>
      </c>
      <c r="R136" s="156"/>
      <c r="S136" s="155">
        <f>ROUND(VLOOKUP($G136,factors,+S$376)*$I136,0)</f>
        <v>1053182</v>
      </c>
      <c r="T136" s="155"/>
      <c r="U136" s="155">
        <f>ROUND(VLOOKUP($G136,factors,+U$376)*$I136,0)</f>
        <v>357592</v>
      </c>
      <c r="W136" s="156">
        <f>ROUND(VLOOKUP($G136,factors,+W$376)*$I136,0)</f>
        <v>11607048</v>
      </c>
      <c r="X136" s="156"/>
      <c r="Y136" s="156">
        <f>ROUND(VLOOKUP($G136,factors,+Y$376)*$I136,0)</f>
        <v>2515391</v>
      </c>
      <c r="Z136" s="155"/>
      <c r="AA136" s="155">
        <f>ROUND(VLOOKUP($G136,factors,+AA$376)*$I136,0)</f>
        <v>416374</v>
      </c>
      <c r="AB136" s="155"/>
      <c r="AC136" s="155">
        <f>ROUND(VLOOKUP($G136,factors,+AC$376)*$I136,0)</f>
        <v>262071</v>
      </c>
      <c r="AE136" s="155">
        <f>ROUND(VLOOKUP($G136,factors,+AE$376)*$I136,0)</f>
        <v>51434</v>
      </c>
      <c r="AG136" s="155">
        <f>ROUND(VLOOKUP($G136,factors,+AG$376)*$I136,0)</f>
        <v>154303</v>
      </c>
      <c r="AH136" s="156"/>
      <c r="AI136" s="157">
        <f t="shared" si="78"/>
        <v>-1</v>
      </c>
    </row>
    <row r="137" spans="1:35">
      <c r="A137" s="287"/>
      <c r="C137" s="261">
        <v>927</v>
      </c>
      <c r="D137" s="222"/>
      <c r="E137" s="859" t="s">
        <v>814</v>
      </c>
      <c r="F137" s="222"/>
      <c r="G137" s="261"/>
      <c r="H137" s="222"/>
      <c r="I137" s="262"/>
      <c r="K137" s="156"/>
      <c r="M137" s="156"/>
      <c r="N137" s="156"/>
      <c r="O137" s="156"/>
      <c r="P137" s="156"/>
      <c r="Q137" s="156"/>
      <c r="R137" s="156"/>
      <c r="S137" s="155"/>
      <c r="T137" s="155"/>
      <c r="U137" s="155"/>
      <c r="W137" s="156"/>
      <c r="X137" s="156"/>
      <c r="Y137" s="156"/>
      <c r="Z137" s="155"/>
      <c r="AA137" s="155"/>
      <c r="AB137" s="155"/>
      <c r="AC137" s="155"/>
      <c r="AE137" s="155"/>
      <c r="AG137" s="155"/>
      <c r="AH137" s="156"/>
      <c r="AI137" s="157"/>
    </row>
    <row r="138" spans="1:35">
      <c r="C138" s="261">
        <v>928</v>
      </c>
      <c r="D138" s="222"/>
      <c r="E138" s="222" t="s">
        <v>224</v>
      </c>
      <c r="F138" s="222"/>
      <c r="G138" s="261">
        <v>16</v>
      </c>
      <c r="H138" s="222"/>
      <c r="I138" s="262">
        <f>+Linkin!H114</f>
        <v>1378000</v>
      </c>
      <c r="K138" s="156">
        <f>ROUND(VLOOKUP($G138,factors,+K$376)*$I138,0)</f>
        <v>398931</v>
      </c>
      <c r="M138" s="156">
        <f>ROUND(VLOOKUP($G138,factors,+M$376)*$I138,0)</f>
        <v>178589</v>
      </c>
      <c r="N138" s="156"/>
      <c r="O138" s="156">
        <f>ROUND(VLOOKUP($G138,factors,+O$376)*$I138,0)</f>
        <v>44372</v>
      </c>
      <c r="P138" s="156"/>
      <c r="Q138" s="156">
        <f>ROUND(VLOOKUP($G138,factors,+Q$376)*$I138,0)</f>
        <v>43820</v>
      </c>
      <c r="R138" s="156"/>
      <c r="S138" s="155">
        <f>ROUND(VLOOKUP($G138,factors,+S$376)*$I138,0)</f>
        <v>50021</v>
      </c>
      <c r="T138" s="155"/>
      <c r="U138" s="155">
        <f>ROUND(VLOOKUP($G138,factors,+U$376)*$I138,0)</f>
        <v>21359</v>
      </c>
      <c r="W138" s="156">
        <f>ROUND(VLOOKUP($G138,factors,+W$376)*$I138,0)</f>
        <v>511238</v>
      </c>
      <c r="X138" s="156"/>
      <c r="Y138" s="156">
        <f>ROUND(VLOOKUP($G138,factors,+Y$376)*$I138,0)</f>
        <v>101696</v>
      </c>
      <c r="Z138" s="155"/>
      <c r="AA138" s="155">
        <f>ROUND(VLOOKUP($G138,factors,+AA$376)*$I138,0)</f>
        <v>12815</v>
      </c>
      <c r="AB138" s="155"/>
      <c r="AC138" s="155">
        <f>ROUND(VLOOKUP($G138,factors,+AC$376)*$I138,0)</f>
        <v>8819</v>
      </c>
      <c r="AE138" s="155">
        <f>ROUND(VLOOKUP($G138,factors,+AE$376)*$I138,0)</f>
        <v>1654</v>
      </c>
      <c r="AG138" s="155">
        <f>ROUND(VLOOKUP($G138,factors,+AG$376)*$I138,0)</f>
        <v>4685</v>
      </c>
      <c r="AH138" s="156"/>
      <c r="AI138" s="157">
        <f t="shared" si="78"/>
        <v>-1</v>
      </c>
    </row>
    <row r="139" spans="1:35">
      <c r="A139" s="287"/>
      <c r="C139" s="261">
        <v>929</v>
      </c>
      <c r="D139" s="222"/>
      <c r="E139" s="859" t="s">
        <v>813</v>
      </c>
      <c r="F139" s="222"/>
      <c r="G139" s="261"/>
      <c r="H139" s="222"/>
      <c r="I139" s="262"/>
      <c r="K139" s="156"/>
      <c r="M139" s="156"/>
      <c r="N139" s="156"/>
      <c r="O139" s="156"/>
      <c r="P139" s="156"/>
      <c r="Q139" s="156"/>
      <c r="R139" s="156"/>
      <c r="S139" s="155"/>
      <c r="T139" s="155"/>
      <c r="U139" s="155"/>
      <c r="W139" s="156"/>
      <c r="X139" s="156"/>
      <c r="Y139" s="156"/>
      <c r="Z139" s="155"/>
      <c r="AA139" s="155"/>
      <c r="AB139" s="155"/>
      <c r="AC139" s="155"/>
      <c r="AE139" s="155"/>
      <c r="AG139" s="155"/>
      <c r="AH139" s="156"/>
      <c r="AI139" s="157"/>
    </row>
    <row r="140" spans="1:35">
      <c r="C140" s="159">
        <v>930</v>
      </c>
      <c r="E140" s="222" t="s">
        <v>225</v>
      </c>
      <c r="F140" s="222"/>
      <c r="G140" s="261">
        <v>12</v>
      </c>
      <c r="H140" s="222"/>
      <c r="I140" s="262">
        <f>+Linkin!H116</f>
        <v>674913</v>
      </c>
      <c r="K140" s="156">
        <f>ROUND(VLOOKUP($G140,factors,+K$376)*$I140,0)</f>
        <v>199302</v>
      </c>
      <c r="M140" s="156">
        <f>ROUND(VLOOKUP($G140,factors,+M$376)*$I140,0)</f>
        <v>66681</v>
      </c>
      <c r="N140" s="156"/>
      <c r="O140" s="156">
        <f>ROUND(VLOOKUP($G140,factors,+O$376)*$I140,0)</f>
        <v>15590</v>
      </c>
      <c r="P140" s="156"/>
      <c r="Q140" s="156">
        <f>ROUND(VLOOKUP($G140,factors,+Q$376)*$I140,0)</f>
        <v>15456</v>
      </c>
      <c r="R140" s="156"/>
      <c r="S140" s="163">
        <f>ROUND(VLOOKUP($G140,factors,+S$376)*$I140,0)</f>
        <v>26659</v>
      </c>
      <c r="T140" s="163"/>
      <c r="U140" s="163">
        <f>ROUND(VLOOKUP($G140,factors,+U$376)*$I140,0)</f>
        <v>9449</v>
      </c>
      <c r="W140" s="156">
        <f>ROUND(VLOOKUP($G140,factors,+W$376)*$I140,0)</f>
        <v>272125</v>
      </c>
      <c r="X140" s="156"/>
      <c r="Y140" s="156">
        <f>ROUND(VLOOKUP($G140,factors,+Y$376)*$I140,0)</f>
        <v>51698</v>
      </c>
      <c r="Z140" s="155"/>
      <c r="AA140" s="163">
        <f>ROUND(VLOOKUP($G140,factors,+AA$376)*$I140,0)</f>
        <v>8234</v>
      </c>
      <c r="AB140" s="163"/>
      <c r="AC140" s="163">
        <f>ROUND(VLOOKUP($G140,factors,+AC$376)*$I140,0)</f>
        <v>5534</v>
      </c>
      <c r="AE140" s="163">
        <f>ROUND(VLOOKUP($G140,factors,+AE$376)*$I140,0)</f>
        <v>1147</v>
      </c>
      <c r="AG140" s="163">
        <f>ROUND(VLOOKUP($G140,factors,+AG$376)*$I140,0)</f>
        <v>3037</v>
      </c>
      <c r="AH140" s="156"/>
      <c r="AI140" s="157">
        <f t="shared" si="78"/>
        <v>-1</v>
      </c>
    </row>
    <row r="141" spans="1:35">
      <c r="C141" s="159">
        <v>930</v>
      </c>
      <c r="E141" s="222" t="s">
        <v>280</v>
      </c>
      <c r="F141" s="222"/>
      <c r="G141" s="261">
        <v>12</v>
      </c>
      <c r="H141" s="222"/>
      <c r="I141" s="262">
        <f>+Linkin!H117</f>
        <v>6426195</v>
      </c>
      <c r="K141" s="156">
        <f>ROUND(VLOOKUP($G141,factors,+K$376)*$I141,0)</f>
        <v>1897655</v>
      </c>
      <c r="M141" s="156">
        <f>ROUND(VLOOKUP($G141,factors,+M$376)*$I141,0)</f>
        <v>634908</v>
      </c>
      <c r="N141" s="156"/>
      <c r="O141" s="156">
        <f>ROUND(VLOOKUP($G141,factors,+O$376)*$I141,0)</f>
        <v>148445</v>
      </c>
      <c r="P141" s="156"/>
      <c r="Q141" s="156">
        <f>ROUND(VLOOKUP($G141,factors,+Q$376)*$I141,0)</f>
        <v>147160</v>
      </c>
      <c r="R141" s="156"/>
      <c r="S141" s="163">
        <f>ROUND(VLOOKUP($G141,factors,+S$376)*$I141,0)</f>
        <v>253835</v>
      </c>
      <c r="T141" s="163"/>
      <c r="U141" s="163">
        <f>ROUND(VLOOKUP($G141,factors,+U$376)*$I141,0)</f>
        <v>89967</v>
      </c>
      <c r="W141" s="156">
        <f>ROUND(VLOOKUP($G141,factors,+W$376)*$I141,0)</f>
        <v>2591042</v>
      </c>
      <c r="X141" s="156"/>
      <c r="Y141" s="156">
        <f>ROUND(VLOOKUP($G141,factors,+Y$376)*$I141,0)</f>
        <v>492247</v>
      </c>
      <c r="Z141" s="155"/>
      <c r="AA141" s="163">
        <f>ROUND(VLOOKUP($G141,factors,+AA$376)*$I141,0)</f>
        <v>78400</v>
      </c>
      <c r="AB141" s="163"/>
      <c r="AC141" s="163">
        <f>ROUND(VLOOKUP($G141,factors,+AC$376)*$I141,0)</f>
        <v>52695</v>
      </c>
      <c r="AE141" s="163">
        <f>ROUND(VLOOKUP($G141,factors,+AE$376)*$I141,0)</f>
        <v>10925</v>
      </c>
      <c r="AG141" s="163">
        <f>ROUND(VLOOKUP($G141,factors,+AG$376)*$I141,0)</f>
        <v>28918</v>
      </c>
      <c r="AH141" s="156"/>
      <c r="AI141" s="157">
        <f t="shared" si="78"/>
        <v>2</v>
      </c>
    </row>
    <row r="142" spans="1:35">
      <c r="A142" s="287"/>
      <c r="C142" s="159">
        <v>931</v>
      </c>
      <c r="E142" s="222" t="s">
        <v>281</v>
      </c>
      <c r="F142" s="222"/>
      <c r="G142" s="261">
        <v>12</v>
      </c>
      <c r="H142" s="246"/>
      <c r="I142" s="262">
        <f>+Linkin!H118</f>
        <v>497163</v>
      </c>
      <c r="J142" s="150"/>
      <c r="K142" s="161">
        <f>ROUND(VLOOKUP($G142,factors,+K$376)*$I142,0)</f>
        <v>146812</v>
      </c>
      <c r="L142" s="150"/>
      <c r="M142" s="161">
        <f>ROUND(VLOOKUP($G142,factors,+M$376)*$I142,0)</f>
        <v>49120</v>
      </c>
      <c r="O142" s="161">
        <f>ROUND(VLOOKUP($G142,factors,+O$376)*$I142,0)</f>
        <v>11484</v>
      </c>
      <c r="P142" s="162"/>
      <c r="Q142" s="161">
        <f>ROUND(VLOOKUP($G142,factors,+Q$376)*$I142,0)</f>
        <v>11385</v>
      </c>
      <c r="S142" s="161">
        <f>ROUND(VLOOKUP($G142,factors,+S$376)*$I142,0)</f>
        <v>19638</v>
      </c>
      <c r="T142" s="162"/>
      <c r="U142" s="161">
        <f>ROUND(VLOOKUP($G142,factors,+U$376)*$I142,0)</f>
        <v>6960</v>
      </c>
      <c r="V142" s="150"/>
      <c r="W142" s="161">
        <f>ROUND(VLOOKUP($G142,factors,+W$376)*$I142,0)</f>
        <v>200456</v>
      </c>
      <c r="Y142" s="161">
        <f>ROUND(VLOOKUP($G142,factors,+Y$376)*$I142,0)</f>
        <v>38083</v>
      </c>
      <c r="Z142" s="155"/>
      <c r="AA142" s="161">
        <f>ROUND(VLOOKUP($G142,factors,+AA$376)*$I142,0)</f>
        <v>6065</v>
      </c>
      <c r="AB142" s="162"/>
      <c r="AC142" s="161">
        <f>ROUND(VLOOKUP($G142,factors,+AC$376)*$I142,0)</f>
        <v>4077</v>
      </c>
      <c r="AD142" s="150"/>
      <c r="AE142" s="161">
        <f>ROUND(VLOOKUP($G142,factors,+AE$376)*$I142,0)</f>
        <v>845</v>
      </c>
      <c r="AF142" s="150"/>
      <c r="AG142" s="161">
        <f>ROUND(VLOOKUP($G142,factors,+AG$376)*$I142,0)</f>
        <v>2237</v>
      </c>
      <c r="AI142" s="157">
        <f t="shared" si="78"/>
        <v>-1</v>
      </c>
    </row>
    <row r="143" spans="1:35">
      <c r="C143" s="159" t="s">
        <v>217</v>
      </c>
      <c r="E143" s="222" t="s">
        <v>219</v>
      </c>
      <c r="F143" s="222"/>
      <c r="G143" s="261"/>
      <c r="H143" s="222"/>
      <c r="I143" s="894">
        <f>SUM(I130:I142)</f>
        <v>110412286</v>
      </c>
      <c r="K143" s="163">
        <f>SUM(K130:K142)</f>
        <v>30159740</v>
      </c>
      <c r="M143" s="163">
        <f>SUM(M130:M142)</f>
        <v>10698902</v>
      </c>
      <c r="O143" s="163">
        <f>SUM(O130:O142)</f>
        <v>2555715</v>
      </c>
      <c r="P143" s="163"/>
      <c r="Q143" s="163">
        <f>SUM(Q130:Q142)</f>
        <v>2533359</v>
      </c>
      <c r="S143" s="163">
        <f>SUM(S130:S142)</f>
        <v>4442599</v>
      </c>
      <c r="T143" s="163"/>
      <c r="U143" s="163">
        <f>SUM(U130:U142)</f>
        <v>1562534</v>
      </c>
      <c r="W143" s="163">
        <f>SUM(W130:W142)</f>
        <v>46205490</v>
      </c>
      <c r="Y143" s="163">
        <f>SUM(Y130:Y142)</f>
        <v>9092978</v>
      </c>
      <c r="Z143" s="155"/>
      <c r="AA143" s="163">
        <f>SUM(AA130:AA142)</f>
        <v>1460598</v>
      </c>
      <c r="AB143" s="163"/>
      <c r="AC143" s="163">
        <f>SUM(AC130:AC142)</f>
        <v>964131</v>
      </c>
      <c r="AE143" s="163">
        <f t="shared" ref="AE143" si="79">SUM(AE130:AE142)</f>
        <v>196809</v>
      </c>
      <c r="AG143" s="163">
        <f t="shared" ref="AG143" si="80">SUM(AG130:AG142)</f>
        <v>539425</v>
      </c>
      <c r="AI143" s="157">
        <f t="shared" si="78"/>
        <v>-6</v>
      </c>
    </row>
    <row r="144" spans="1:35">
      <c r="C144" s="159"/>
      <c r="E144" s="222"/>
      <c r="F144" s="222"/>
      <c r="G144" s="261"/>
      <c r="H144" s="222"/>
      <c r="I144" s="490"/>
      <c r="S144" s="155"/>
      <c r="T144" s="155"/>
      <c r="U144" s="155"/>
      <c r="Z144" s="155"/>
      <c r="AA144" s="155"/>
      <c r="AB144" s="155"/>
      <c r="AC144" s="155"/>
      <c r="AE144" s="155"/>
      <c r="AG144" s="155"/>
      <c r="AI144" s="157">
        <f t="shared" si="78"/>
        <v>0</v>
      </c>
    </row>
    <row r="145" spans="1:37">
      <c r="C145" s="159" t="s">
        <v>217</v>
      </c>
      <c r="E145" s="475" t="s">
        <v>209</v>
      </c>
      <c r="F145" s="222"/>
      <c r="G145" s="261"/>
      <c r="H145" s="222"/>
      <c r="I145" s="490"/>
      <c r="S145" s="155"/>
      <c r="T145" s="155"/>
      <c r="U145" s="155"/>
      <c r="Z145" s="155"/>
      <c r="AA145" s="155"/>
      <c r="AB145" s="155"/>
      <c r="AC145" s="155"/>
      <c r="AE145" s="155"/>
      <c r="AG145" s="155"/>
      <c r="AI145" s="157">
        <f t="shared" si="78"/>
        <v>0</v>
      </c>
    </row>
    <row r="146" spans="1:37" s="47" customFormat="1">
      <c r="A146" s="149"/>
      <c r="B146" s="149"/>
      <c r="C146" s="159">
        <v>932</v>
      </c>
      <c r="D146" s="149"/>
      <c r="E146" s="222" t="s">
        <v>275</v>
      </c>
      <c r="F146" s="222"/>
      <c r="G146" s="261">
        <v>12</v>
      </c>
      <c r="H146" s="222"/>
      <c r="I146" s="262">
        <f>+Linkin!H122</f>
        <v>4463636</v>
      </c>
      <c r="J146" s="149"/>
      <c r="K146" s="156">
        <f>ROUND(VLOOKUP($G146,factors,+K$376)*$I146,0)</f>
        <v>1318112</v>
      </c>
      <c r="L146" s="149"/>
      <c r="M146" s="156">
        <f>ROUND(VLOOKUP($G146,factors,+M$376)*$I146,0)</f>
        <v>441007</v>
      </c>
      <c r="N146" s="156"/>
      <c r="O146" s="156">
        <f>ROUND(VLOOKUP($G146,factors,+O$376)*$I146,0)</f>
        <v>103110</v>
      </c>
      <c r="P146" s="156"/>
      <c r="Q146" s="156">
        <f>ROUND(VLOOKUP($G146,factors,+Q$376)*$I146,0)</f>
        <v>102217</v>
      </c>
      <c r="R146" s="156"/>
      <c r="S146" s="163">
        <f>ROUND(VLOOKUP($G146,factors,+S$376)*$I146,0)</f>
        <v>176314</v>
      </c>
      <c r="T146" s="163"/>
      <c r="U146" s="163">
        <f>ROUND(VLOOKUP($G146,factors,+U$376)*$I146,0)</f>
        <v>62491</v>
      </c>
      <c r="V146" s="149"/>
      <c r="W146" s="156">
        <f>ROUND(VLOOKUP($G146,factors,+W$376)*$I146,0)</f>
        <v>1799738</v>
      </c>
      <c r="X146" s="156"/>
      <c r="Y146" s="156">
        <f>ROUND(VLOOKUP($G146,factors,+Y$376)*$I146,0)</f>
        <v>341915</v>
      </c>
      <c r="Z146" s="155"/>
      <c r="AA146" s="163">
        <f>ROUND(VLOOKUP($G146,factors,+AA$376)*$I146,0)</f>
        <v>54456</v>
      </c>
      <c r="AB146" s="163"/>
      <c r="AC146" s="163">
        <f>ROUND(VLOOKUP($G146,factors,+AC$376)*$I146,0)</f>
        <v>36602</v>
      </c>
      <c r="AD146" s="149"/>
      <c r="AE146" s="163">
        <f>ROUND(VLOOKUP($G146,factors,+AE$376)*$I146,0)</f>
        <v>7588</v>
      </c>
      <c r="AF146" s="149"/>
      <c r="AG146" s="163">
        <f>ROUND(VLOOKUP($G146,factors,+AG$376)*$I146,0)</f>
        <v>20086</v>
      </c>
      <c r="AH146" s="149"/>
      <c r="AI146" s="157">
        <f t="shared" si="78"/>
        <v>0</v>
      </c>
      <c r="AJ146" s="149"/>
      <c r="AK146" s="149"/>
    </row>
    <row r="147" spans="1:37" s="47" customFormat="1">
      <c r="A147" s="149"/>
      <c r="B147" s="149"/>
      <c r="C147" s="159">
        <v>935</v>
      </c>
      <c r="D147" s="149"/>
      <c r="E147" s="222" t="s">
        <v>275</v>
      </c>
      <c r="F147" s="222"/>
      <c r="G147" s="261">
        <v>12</v>
      </c>
      <c r="H147" s="222"/>
      <c r="I147" s="485">
        <f>+Linkin!H123</f>
        <v>15991</v>
      </c>
      <c r="J147" s="149"/>
      <c r="K147" s="160">
        <f>ROUND(VLOOKUP($G147,factors,+K$376)*$I147,0)</f>
        <v>4722</v>
      </c>
      <c r="L147" s="149"/>
      <c r="M147" s="160">
        <f>ROUND(VLOOKUP($G147,factors,+M$376)*$I147,0)</f>
        <v>1580</v>
      </c>
      <c r="N147" s="149"/>
      <c r="O147" s="160">
        <f>ROUND(VLOOKUP($G147,factors,+O$376)*$I147,0)</f>
        <v>369</v>
      </c>
      <c r="P147" s="163"/>
      <c r="Q147" s="160">
        <f>ROUND(VLOOKUP($G147,factors,+Q$376)*$I147,0)</f>
        <v>366</v>
      </c>
      <c r="R147" s="149"/>
      <c r="S147" s="160">
        <f>ROUND(VLOOKUP($G147,factors,+S$376)*$I147,0)</f>
        <v>632</v>
      </c>
      <c r="T147" s="163"/>
      <c r="U147" s="160">
        <f>ROUND(VLOOKUP($G147,factors,+U$376)*$I147,0)</f>
        <v>224</v>
      </c>
      <c r="V147" s="149"/>
      <c r="W147" s="160">
        <f>ROUND(VLOOKUP($G147,factors,+W$376)*$I147,0)</f>
        <v>6448</v>
      </c>
      <c r="X147" s="149"/>
      <c r="Y147" s="160">
        <f>ROUND(VLOOKUP($G147,factors,+Y$376)*$I147,0)</f>
        <v>1225</v>
      </c>
      <c r="Z147" s="155"/>
      <c r="AA147" s="160">
        <f>ROUND(VLOOKUP($G147,factors,+AA$376)*$I147,0)</f>
        <v>195</v>
      </c>
      <c r="AB147" s="163"/>
      <c r="AC147" s="160">
        <f>ROUND(VLOOKUP($G147,factors,+AC$376)*$I147,0)</f>
        <v>131</v>
      </c>
      <c r="AD147" s="149"/>
      <c r="AE147" s="160">
        <f>ROUND(VLOOKUP($G147,factors,+AE$376)*$I147,0)</f>
        <v>27</v>
      </c>
      <c r="AF147" s="149"/>
      <c r="AG147" s="160">
        <f>ROUND(VLOOKUP($G147,factors,+AG$376)*$I147,0)</f>
        <v>72</v>
      </c>
      <c r="AH147" s="149"/>
      <c r="AI147" s="157"/>
      <c r="AJ147" s="149"/>
      <c r="AK147" s="149"/>
    </row>
    <row r="148" spans="1:37">
      <c r="C148" s="149" t="s">
        <v>217</v>
      </c>
      <c r="E148" s="222" t="s">
        <v>220</v>
      </c>
      <c r="F148" s="222"/>
      <c r="G148" s="261"/>
      <c r="H148" s="222"/>
      <c r="I148" s="485">
        <f>SUM(I146:I147)</f>
        <v>4479627</v>
      </c>
      <c r="J148" s="160"/>
      <c r="K148" s="160">
        <f t="shared" ref="K148:AG148" si="81">SUM(K146:K147)</f>
        <v>1322834</v>
      </c>
      <c r="L148" s="160"/>
      <c r="M148" s="160">
        <f t="shared" si="81"/>
        <v>442587</v>
      </c>
      <c r="N148" s="160"/>
      <c r="O148" s="160">
        <f t="shared" si="81"/>
        <v>103479</v>
      </c>
      <c r="P148" s="160"/>
      <c r="Q148" s="160">
        <f t="shared" si="81"/>
        <v>102583</v>
      </c>
      <c r="R148" s="160"/>
      <c r="S148" s="160">
        <f t="shared" si="81"/>
        <v>176946</v>
      </c>
      <c r="T148" s="160"/>
      <c r="U148" s="160">
        <f t="shared" si="81"/>
        <v>62715</v>
      </c>
      <c r="V148" s="160"/>
      <c r="W148" s="160">
        <f t="shared" si="81"/>
        <v>1806186</v>
      </c>
      <c r="X148" s="160"/>
      <c r="Y148" s="160">
        <f t="shared" si="81"/>
        <v>343140</v>
      </c>
      <c r="Z148" s="160"/>
      <c r="AA148" s="160">
        <f t="shared" si="81"/>
        <v>54651</v>
      </c>
      <c r="AB148" s="160"/>
      <c r="AC148" s="160">
        <f t="shared" si="81"/>
        <v>36733</v>
      </c>
      <c r="AD148" s="160"/>
      <c r="AE148" s="160">
        <f t="shared" si="81"/>
        <v>7615</v>
      </c>
      <c r="AF148" s="160"/>
      <c r="AG148" s="160">
        <f t="shared" si="81"/>
        <v>20158</v>
      </c>
      <c r="AI148" s="157">
        <f t="shared" ref="AI148:AI215" si="82">SUM(K148:AG148)-I148</f>
        <v>0</v>
      </c>
    </row>
    <row r="149" spans="1:37">
      <c r="E149" s="222"/>
      <c r="F149" s="222"/>
      <c r="G149" s="261"/>
      <c r="H149" s="222"/>
      <c r="I149" s="262"/>
      <c r="K149" s="155"/>
      <c r="M149" s="155"/>
      <c r="O149" s="155"/>
      <c r="P149" s="155"/>
      <c r="Q149" s="155"/>
      <c r="S149" s="155"/>
      <c r="T149" s="155"/>
      <c r="U149" s="155"/>
      <c r="W149" s="155"/>
      <c r="Y149" s="155"/>
      <c r="Z149" s="155"/>
      <c r="AA149" s="155"/>
      <c r="AB149" s="155"/>
      <c r="AC149" s="155"/>
      <c r="AE149" s="155"/>
      <c r="AG149" s="155"/>
      <c r="AI149" s="157">
        <f t="shared" si="82"/>
        <v>0</v>
      </c>
    </row>
    <row r="150" spans="1:37" ht="15.75">
      <c r="E150" s="476" t="s">
        <v>259</v>
      </c>
      <c r="F150" s="476"/>
      <c r="G150" s="477"/>
      <c r="H150" s="476"/>
      <c r="I150" s="478">
        <f>+I148+I143</f>
        <v>114891913</v>
      </c>
      <c r="J150" s="27"/>
      <c r="K150" s="39">
        <f>+K148+K143</f>
        <v>31482574</v>
      </c>
      <c r="L150" s="27"/>
      <c r="M150" s="39">
        <f>+M148+M143</f>
        <v>11141489</v>
      </c>
      <c r="N150" s="27"/>
      <c r="O150" s="39">
        <f>+O148+O143</f>
        <v>2659194</v>
      </c>
      <c r="P150" s="48"/>
      <c r="Q150" s="39">
        <f>+Q148+Q143</f>
        <v>2635942</v>
      </c>
      <c r="R150" s="27"/>
      <c r="S150" s="39">
        <f>+S148+S143</f>
        <v>4619545</v>
      </c>
      <c r="T150" s="48"/>
      <c r="U150" s="39">
        <f>+U148+U143</f>
        <v>1625249</v>
      </c>
      <c r="V150" s="27"/>
      <c r="W150" s="39">
        <f>+W148+W143</f>
        <v>48011676</v>
      </c>
      <c r="X150" s="27"/>
      <c r="Y150" s="39">
        <f>+Y148+Y143</f>
        <v>9436118</v>
      </c>
      <c r="Z150" s="155"/>
      <c r="AA150" s="39">
        <f>+AA148+AA143</f>
        <v>1515249</v>
      </c>
      <c r="AB150" s="48"/>
      <c r="AC150" s="39">
        <f>+AC148+AC143</f>
        <v>1000864</v>
      </c>
      <c r="AD150" s="27"/>
      <c r="AE150" s="39">
        <f t="shared" ref="AE150" si="83">+AE148+AE143</f>
        <v>204424</v>
      </c>
      <c r="AF150" s="27"/>
      <c r="AG150" s="39">
        <f t="shared" ref="AG150" si="84">+AG148+AG143</f>
        <v>559583</v>
      </c>
      <c r="AH150" s="27"/>
      <c r="AI150" s="157">
        <f t="shared" si="82"/>
        <v>-6</v>
      </c>
    </row>
    <row r="151" spans="1:37">
      <c r="E151" s="222"/>
      <c r="F151" s="222"/>
      <c r="G151" s="261"/>
      <c r="H151" s="222"/>
      <c r="I151" s="262"/>
      <c r="K151" s="155"/>
      <c r="M151" s="155"/>
      <c r="O151" s="155"/>
      <c r="P151" s="155"/>
      <c r="Q151" s="155"/>
      <c r="S151" s="155"/>
      <c r="T151" s="155"/>
      <c r="U151" s="155"/>
      <c r="W151" s="155"/>
      <c r="Y151" s="155"/>
      <c r="Z151" s="155"/>
      <c r="AA151" s="155"/>
      <c r="AB151" s="155"/>
      <c r="AC151" s="155"/>
      <c r="AE151" s="155"/>
      <c r="AG151" s="155"/>
      <c r="AI151" s="157">
        <f t="shared" si="82"/>
        <v>0</v>
      </c>
    </row>
    <row r="152" spans="1:37" ht="15.75">
      <c r="B152" s="945">
        <v>250831471.23447338</v>
      </c>
      <c r="E152" s="476" t="s">
        <v>250</v>
      </c>
      <c r="F152" s="476"/>
      <c r="G152" s="477"/>
      <c r="H152" s="476"/>
      <c r="I152" s="478">
        <f>+I150+I125+I115+I105+I94+I44+I51+I57</f>
        <v>250831417.17643613</v>
      </c>
      <c r="J152" s="27"/>
      <c r="K152" s="39">
        <f>+K150+K125+K115+K105+K94+K44+K51+K57</f>
        <v>73692206.987339482</v>
      </c>
      <c r="L152" s="27"/>
      <c r="M152" s="39">
        <f>+M150+M125+M115+M105+M94+M44+M51+M57</f>
        <v>25488565.228214499</v>
      </c>
      <c r="N152" s="27"/>
      <c r="O152" s="39">
        <f>+O150+O125+O115+O105+O94+O44+O51+O57</f>
        <v>5683466.2038211748</v>
      </c>
      <c r="P152" s="27"/>
      <c r="Q152" s="39">
        <f>+Q150+Q125+Q115+Q105+Q94+Q44+Q51+Q57</f>
        <v>5634091.1852987455</v>
      </c>
      <c r="R152" s="27"/>
      <c r="S152" s="39">
        <f>+S150+S125+S115+S105+S94+S44+S51+S57</f>
        <v>9800299</v>
      </c>
      <c r="T152" s="48"/>
      <c r="U152" s="39">
        <f>+U150+U125+U115+U105+U94+U44+U51+U57</f>
        <v>3457379</v>
      </c>
      <c r="V152" s="27"/>
      <c r="W152" s="39">
        <f>+W150+W125+W115+W105+W94+W44+W51+W57</f>
        <v>100859542.65504281</v>
      </c>
      <c r="X152" s="27"/>
      <c r="Y152" s="39">
        <f>+Y150+Y125+Y115+Y105+Y94+Y44+Y51+Y57</f>
        <v>19470879.731565014</v>
      </c>
      <c r="Z152" s="27"/>
      <c r="AA152" s="39">
        <f>+AA150+AA125+AA115+AA105+AA94+AA44+AA51+AA57</f>
        <v>3107242</v>
      </c>
      <c r="AB152" s="27"/>
      <c r="AC152" s="39">
        <f>+AC150+AC125+AC115+AC105+AC94+AC44+AC51+AC57</f>
        <v>2071527</v>
      </c>
      <c r="AD152" s="27"/>
      <c r="AE152" s="39">
        <f>+AE150+AE125+AE115+AE105+AE94+AE44+AE51+AE57</f>
        <v>420666</v>
      </c>
      <c r="AF152" s="27"/>
      <c r="AG152" s="39">
        <f>+AG150+AG125+AG115+AG105+AG94+AG44+AG51+AG57</f>
        <v>1145547</v>
      </c>
      <c r="AH152" s="27"/>
      <c r="AI152" s="157">
        <f t="shared" si="82"/>
        <v>-5.1851544380187988</v>
      </c>
    </row>
    <row r="153" spans="1:37" ht="16.149999999999999" customHeight="1">
      <c r="B153" s="900">
        <f>+I152-B152</f>
        <v>-54.058037251234055</v>
      </c>
      <c r="E153" s="222"/>
      <c r="F153" s="222"/>
      <c r="G153" s="261"/>
      <c r="H153" s="222"/>
      <c r="I153" s="285"/>
      <c r="S153" s="155"/>
      <c r="T153" s="155"/>
      <c r="U153" s="155"/>
      <c r="AA153" s="155"/>
      <c r="AB153" s="155"/>
      <c r="AC153" s="155"/>
      <c r="AE153" s="155"/>
      <c r="AG153" s="155"/>
      <c r="AI153" s="157">
        <f t="shared" si="82"/>
        <v>0</v>
      </c>
    </row>
    <row r="154" spans="1:37" ht="33" customHeight="1">
      <c r="C154" s="27" t="s">
        <v>437</v>
      </c>
      <c r="E154" s="222"/>
      <c r="F154" s="222"/>
      <c r="G154" s="261"/>
      <c r="H154" s="222"/>
      <c r="I154" s="285"/>
      <c r="AI154" s="157">
        <f t="shared" si="82"/>
        <v>0</v>
      </c>
    </row>
    <row r="155" spans="1:37" ht="6.6" customHeight="1">
      <c r="E155" s="482"/>
      <c r="F155" s="222"/>
      <c r="G155" s="261"/>
      <c r="H155" s="222"/>
      <c r="I155" s="285"/>
      <c r="AI155" s="157">
        <f t="shared" si="82"/>
        <v>0</v>
      </c>
    </row>
    <row r="156" spans="1:37" ht="15.75" customHeight="1">
      <c r="C156" s="27" t="s">
        <v>659</v>
      </c>
      <c r="E156" s="482"/>
      <c r="F156" s="222"/>
      <c r="G156" s="261"/>
      <c r="H156" s="222"/>
      <c r="I156" s="285"/>
      <c r="AI156" s="157"/>
    </row>
    <row r="157" spans="1:37" ht="15.75" customHeight="1">
      <c r="C157" s="159">
        <v>305</v>
      </c>
      <c r="E157" s="149" t="s">
        <v>755</v>
      </c>
      <c r="F157" s="222"/>
      <c r="G157" s="261">
        <v>1</v>
      </c>
      <c r="H157" s="222"/>
      <c r="I157" s="285">
        <f>+'Linkin (2)'!W14</f>
        <v>290975</v>
      </c>
      <c r="K157" s="156">
        <f t="shared" ref="K157:K167" si="85">ROUND(VLOOKUP($G157,factors,+K$376)*$I157,0)</f>
        <v>208193</v>
      </c>
      <c r="M157" s="156">
        <f t="shared" ref="M157:M167" si="86">ROUND(VLOOKUP($G157,factors,+M$376)*$I157,0)</f>
        <v>82782</v>
      </c>
      <c r="N157" s="156"/>
      <c r="O157" s="156">
        <f t="shared" ref="O157:O167" si="87">ROUND(VLOOKUP($G157,factors,+O$376)*$I157,0)</f>
        <v>0</v>
      </c>
      <c r="P157" s="156"/>
      <c r="Q157" s="156">
        <f t="shared" ref="Q157:Q167" si="88">ROUND(VLOOKUP($G157,factors,+Q$376)*$I157,0)</f>
        <v>0</v>
      </c>
      <c r="R157" s="156"/>
      <c r="S157" s="155">
        <f t="shared" ref="S157:S167" si="89">ROUND(VLOOKUP($G157,factors,+S$376)*$I157,0)</f>
        <v>0</v>
      </c>
      <c r="T157" s="155"/>
      <c r="U157" s="155">
        <f t="shared" ref="U157:U167" si="90">ROUND(VLOOKUP($G157,factors,+U$376)*$I157,0)</f>
        <v>0</v>
      </c>
      <c r="W157" s="156">
        <f t="shared" ref="W157:W167" si="91">ROUND(VLOOKUP($G157,factors,+W$376)*$I157,0)</f>
        <v>0</v>
      </c>
      <c r="X157" s="156"/>
      <c r="Y157" s="156">
        <f t="shared" ref="Y157:Y167" si="92">ROUND(VLOOKUP($G157,factors,+Y$376)*$I157,0)</f>
        <v>0</v>
      </c>
      <c r="Z157" s="155"/>
      <c r="AA157" s="155">
        <f t="shared" ref="AA157:AA167" si="93">ROUND(VLOOKUP($G157,factors,+AA$376)*$I157,0)</f>
        <v>0</v>
      </c>
      <c r="AB157" s="155"/>
      <c r="AC157" s="155">
        <f t="shared" ref="AC157:AC167" si="94">ROUND(VLOOKUP($G157,factors,+AC$376)*$I157,0)</f>
        <v>0</v>
      </c>
      <c r="AE157" s="155">
        <f t="shared" ref="AE157:AE167" si="95">ROUND(VLOOKUP($G157,factors,+AE$376)*$I157,0)</f>
        <v>0</v>
      </c>
      <c r="AG157" s="155">
        <f t="shared" ref="AG157:AG167" si="96">ROUND(VLOOKUP($G157,factors,+AG$376)*$I157,0)</f>
        <v>0</v>
      </c>
      <c r="AH157" s="156"/>
      <c r="AI157" s="157">
        <f t="shared" ref="AI157:AI189" si="97">SUM(K157:AG157)-I157</f>
        <v>0</v>
      </c>
    </row>
    <row r="158" spans="1:37" ht="15.75" customHeight="1">
      <c r="C158" s="159">
        <v>325.2</v>
      </c>
      <c r="E158" s="149" t="s">
        <v>764</v>
      </c>
      <c r="F158" s="222"/>
      <c r="G158" s="261">
        <v>1</v>
      </c>
      <c r="H158" s="222"/>
      <c r="I158" s="285">
        <f>+'Linkin (2)'!W15</f>
        <v>36</v>
      </c>
      <c r="K158" s="156">
        <f t="shared" si="85"/>
        <v>26</v>
      </c>
      <c r="M158" s="156">
        <f t="shared" si="86"/>
        <v>10</v>
      </c>
      <c r="N158" s="156"/>
      <c r="O158" s="156">
        <f t="shared" si="87"/>
        <v>0</v>
      </c>
      <c r="P158" s="156"/>
      <c r="Q158" s="156">
        <f t="shared" si="88"/>
        <v>0</v>
      </c>
      <c r="R158" s="156"/>
      <c r="S158" s="155">
        <f t="shared" si="89"/>
        <v>0</v>
      </c>
      <c r="T158" s="155"/>
      <c r="U158" s="155">
        <f t="shared" si="90"/>
        <v>0</v>
      </c>
      <c r="W158" s="156">
        <f t="shared" si="91"/>
        <v>0</v>
      </c>
      <c r="X158" s="156"/>
      <c r="Y158" s="156">
        <f t="shared" si="92"/>
        <v>0</v>
      </c>
      <c r="Z158" s="155"/>
      <c r="AA158" s="155">
        <f t="shared" si="93"/>
        <v>0</v>
      </c>
      <c r="AB158" s="155"/>
      <c r="AC158" s="155">
        <f t="shared" si="94"/>
        <v>0</v>
      </c>
      <c r="AE158" s="155">
        <f t="shared" si="95"/>
        <v>0</v>
      </c>
      <c r="AG158" s="155">
        <f t="shared" si="96"/>
        <v>0</v>
      </c>
      <c r="AH158" s="156"/>
      <c r="AI158" s="157">
        <f t="shared" si="97"/>
        <v>0</v>
      </c>
    </row>
    <row r="159" spans="1:37" ht="15.75" customHeight="1">
      <c r="C159" s="159">
        <v>325.39999999999998</v>
      </c>
      <c r="E159" s="149" t="s">
        <v>756</v>
      </c>
      <c r="F159" s="222"/>
      <c r="G159" s="261">
        <v>1</v>
      </c>
      <c r="H159" s="222"/>
      <c r="I159" s="285">
        <f>+'Linkin (2)'!W16</f>
        <v>21</v>
      </c>
      <c r="K159" s="156">
        <f t="shared" si="85"/>
        <v>15</v>
      </c>
      <c r="M159" s="156">
        <f t="shared" si="86"/>
        <v>6</v>
      </c>
      <c r="N159" s="156"/>
      <c r="O159" s="156">
        <f t="shared" si="87"/>
        <v>0</v>
      </c>
      <c r="P159" s="156"/>
      <c r="Q159" s="156">
        <f t="shared" si="88"/>
        <v>0</v>
      </c>
      <c r="R159" s="156"/>
      <c r="S159" s="155">
        <f t="shared" si="89"/>
        <v>0</v>
      </c>
      <c r="T159" s="155"/>
      <c r="U159" s="155">
        <f t="shared" si="90"/>
        <v>0</v>
      </c>
      <c r="W159" s="156">
        <f t="shared" si="91"/>
        <v>0</v>
      </c>
      <c r="X159" s="156"/>
      <c r="Y159" s="156">
        <f t="shared" si="92"/>
        <v>0</v>
      </c>
      <c r="Z159" s="155"/>
      <c r="AA159" s="155">
        <f t="shared" si="93"/>
        <v>0</v>
      </c>
      <c r="AB159" s="155"/>
      <c r="AC159" s="155">
        <f t="shared" si="94"/>
        <v>0</v>
      </c>
      <c r="AE159" s="155">
        <f t="shared" si="95"/>
        <v>0</v>
      </c>
      <c r="AG159" s="155">
        <f t="shared" si="96"/>
        <v>0</v>
      </c>
      <c r="AH159" s="156"/>
      <c r="AI159" s="157">
        <f t="shared" si="97"/>
        <v>0</v>
      </c>
    </row>
    <row r="160" spans="1:37" ht="15.75" customHeight="1">
      <c r="C160" s="159">
        <v>328</v>
      </c>
      <c r="E160" s="149" t="s">
        <v>757</v>
      </c>
      <c r="F160" s="222"/>
      <c r="G160" s="261">
        <v>1</v>
      </c>
      <c r="H160" s="222"/>
      <c r="I160" s="285">
        <f>+'Linkin (2)'!W17</f>
        <v>0</v>
      </c>
      <c r="K160" s="156">
        <f t="shared" si="85"/>
        <v>0</v>
      </c>
      <c r="M160" s="156">
        <f t="shared" si="86"/>
        <v>0</v>
      </c>
      <c r="N160" s="156"/>
      <c r="O160" s="156">
        <f t="shared" si="87"/>
        <v>0</v>
      </c>
      <c r="P160" s="156"/>
      <c r="Q160" s="156">
        <f t="shared" si="88"/>
        <v>0</v>
      </c>
      <c r="R160" s="156"/>
      <c r="S160" s="155">
        <f t="shared" si="89"/>
        <v>0</v>
      </c>
      <c r="T160" s="155"/>
      <c r="U160" s="155">
        <f t="shared" si="90"/>
        <v>0</v>
      </c>
      <c r="W160" s="156">
        <f t="shared" si="91"/>
        <v>0</v>
      </c>
      <c r="X160" s="156"/>
      <c r="Y160" s="156">
        <f t="shared" si="92"/>
        <v>0</v>
      </c>
      <c r="Z160" s="155"/>
      <c r="AA160" s="155">
        <f t="shared" si="93"/>
        <v>0</v>
      </c>
      <c r="AB160" s="155"/>
      <c r="AC160" s="155">
        <f t="shared" si="94"/>
        <v>0</v>
      </c>
      <c r="AE160" s="155">
        <f t="shared" si="95"/>
        <v>0</v>
      </c>
      <c r="AG160" s="155">
        <f t="shared" si="96"/>
        <v>0</v>
      </c>
      <c r="AH160" s="156"/>
      <c r="AI160" s="157">
        <f t="shared" si="97"/>
        <v>0</v>
      </c>
    </row>
    <row r="161" spans="3:35" ht="15.75" customHeight="1">
      <c r="C161" s="159">
        <v>329</v>
      </c>
      <c r="E161" s="149" t="s">
        <v>758</v>
      </c>
      <c r="F161" s="222"/>
      <c r="G161" s="261">
        <v>1</v>
      </c>
      <c r="H161" s="222"/>
      <c r="I161" s="285">
        <f>+'Linkin (2)'!W18</f>
        <v>0</v>
      </c>
      <c r="K161" s="156">
        <f t="shared" si="85"/>
        <v>0</v>
      </c>
      <c r="M161" s="156">
        <f t="shared" si="86"/>
        <v>0</v>
      </c>
      <c r="N161" s="156"/>
      <c r="O161" s="156">
        <f t="shared" si="87"/>
        <v>0</v>
      </c>
      <c r="P161" s="156"/>
      <c r="Q161" s="156">
        <f t="shared" si="88"/>
        <v>0</v>
      </c>
      <c r="R161" s="156"/>
      <c r="S161" s="155">
        <f t="shared" si="89"/>
        <v>0</v>
      </c>
      <c r="T161" s="155"/>
      <c r="U161" s="155">
        <f t="shared" si="90"/>
        <v>0</v>
      </c>
      <c r="W161" s="156">
        <f t="shared" si="91"/>
        <v>0</v>
      </c>
      <c r="X161" s="156"/>
      <c r="Y161" s="156">
        <f t="shared" si="92"/>
        <v>0</v>
      </c>
      <c r="Z161" s="155"/>
      <c r="AA161" s="155">
        <f t="shared" si="93"/>
        <v>0</v>
      </c>
      <c r="AB161" s="155"/>
      <c r="AC161" s="155">
        <f t="shared" si="94"/>
        <v>0</v>
      </c>
      <c r="AE161" s="155">
        <f t="shared" si="95"/>
        <v>0</v>
      </c>
      <c r="AG161" s="155">
        <f t="shared" si="96"/>
        <v>0</v>
      </c>
      <c r="AH161" s="156"/>
      <c r="AI161" s="157">
        <f t="shared" si="97"/>
        <v>0</v>
      </c>
    </row>
    <row r="162" spans="3:35" ht="15.75" customHeight="1">
      <c r="C162" s="159">
        <v>330</v>
      </c>
      <c r="E162" s="149" t="s">
        <v>759</v>
      </c>
      <c r="F162" s="222"/>
      <c r="G162" s="261">
        <v>1</v>
      </c>
      <c r="H162" s="222"/>
      <c r="I162" s="285">
        <f>+'Linkin (2)'!W19</f>
        <v>50841</v>
      </c>
      <c r="K162" s="156">
        <f t="shared" si="85"/>
        <v>36377</v>
      </c>
      <c r="M162" s="156">
        <f t="shared" si="86"/>
        <v>14464</v>
      </c>
      <c r="N162" s="156"/>
      <c r="O162" s="156">
        <f t="shared" si="87"/>
        <v>0</v>
      </c>
      <c r="P162" s="156"/>
      <c r="Q162" s="156">
        <f t="shared" si="88"/>
        <v>0</v>
      </c>
      <c r="R162" s="156"/>
      <c r="S162" s="155">
        <f t="shared" si="89"/>
        <v>0</v>
      </c>
      <c r="T162" s="155"/>
      <c r="U162" s="155">
        <f t="shared" si="90"/>
        <v>0</v>
      </c>
      <c r="W162" s="156">
        <f t="shared" si="91"/>
        <v>0</v>
      </c>
      <c r="X162" s="156"/>
      <c r="Y162" s="156">
        <f t="shared" si="92"/>
        <v>0</v>
      </c>
      <c r="Z162" s="155"/>
      <c r="AA162" s="155">
        <f t="shared" si="93"/>
        <v>0</v>
      </c>
      <c r="AB162" s="155"/>
      <c r="AC162" s="155">
        <f t="shared" si="94"/>
        <v>0</v>
      </c>
      <c r="AE162" s="155">
        <f t="shared" si="95"/>
        <v>0</v>
      </c>
      <c r="AG162" s="155">
        <f t="shared" si="96"/>
        <v>0</v>
      </c>
      <c r="AH162" s="156"/>
      <c r="AI162" s="157">
        <f t="shared" si="97"/>
        <v>0</v>
      </c>
    </row>
    <row r="163" spans="3:35" ht="15.75" customHeight="1">
      <c r="C163" s="159">
        <v>331</v>
      </c>
      <c r="E163" s="149" t="s">
        <v>760</v>
      </c>
      <c r="F163" s="222"/>
      <c r="G163" s="261">
        <v>1</v>
      </c>
      <c r="H163" s="222"/>
      <c r="I163" s="285">
        <f>+'Linkin (2)'!W20</f>
        <v>0</v>
      </c>
      <c r="K163" s="156">
        <f t="shared" si="85"/>
        <v>0</v>
      </c>
      <c r="M163" s="156">
        <f t="shared" si="86"/>
        <v>0</v>
      </c>
      <c r="N163" s="156"/>
      <c r="O163" s="156">
        <f t="shared" si="87"/>
        <v>0</v>
      </c>
      <c r="P163" s="156"/>
      <c r="Q163" s="156">
        <f t="shared" si="88"/>
        <v>0</v>
      </c>
      <c r="R163" s="156"/>
      <c r="S163" s="155">
        <f t="shared" si="89"/>
        <v>0</v>
      </c>
      <c r="T163" s="155"/>
      <c r="U163" s="155">
        <f t="shared" si="90"/>
        <v>0</v>
      </c>
      <c r="W163" s="156">
        <f t="shared" si="91"/>
        <v>0</v>
      </c>
      <c r="X163" s="156"/>
      <c r="Y163" s="156">
        <f t="shared" si="92"/>
        <v>0</v>
      </c>
      <c r="Z163" s="155"/>
      <c r="AA163" s="155">
        <f t="shared" si="93"/>
        <v>0</v>
      </c>
      <c r="AB163" s="155"/>
      <c r="AC163" s="155">
        <f t="shared" si="94"/>
        <v>0</v>
      </c>
      <c r="AE163" s="155">
        <f t="shared" si="95"/>
        <v>0</v>
      </c>
      <c r="AG163" s="155">
        <f t="shared" si="96"/>
        <v>0</v>
      </c>
      <c r="AH163" s="156"/>
      <c r="AI163" s="157">
        <f t="shared" si="97"/>
        <v>0</v>
      </c>
    </row>
    <row r="164" spans="3:35" ht="15.75" customHeight="1">
      <c r="C164" s="159">
        <v>332</v>
      </c>
      <c r="E164" s="149" t="s">
        <v>761</v>
      </c>
      <c r="F164" s="222"/>
      <c r="G164" s="261">
        <v>1</v>
      </c>
      <c r="H164" s="222"/>
      <c r="I164" s="285">
        <f>+'Linkin (2)'!W21</f>
        <v>1039</v>
      </c>
      <c r="K164" s="156">
        <f t="shared" si="85"/>
        <v>743</v>
      </c>
      <c r="M164" s="156">
        <f t="shared" si="86"/>
        <v>296</v>
      </c>
      <c r="N164" s="156"/>
      <c r="O164" s="156">
        <f t="shared" si="87"/>
        <v>0</v>
      </c>
      <c r="P164" s="156"/>
      <c r="Q164" s="156">
        <f t="shared" si="88"/>
        <v>0</v>
      </c>
      <c r="R164" s="156"/>
      <c r="S164" s="155">
        <f t="shared" si="89"/>
        <v>0</v>
      </c>
      <c r="T164" s="155"/>
      <c r="U164" s="155">
        <f t="shared" si="90"/>
        <v>0</v>
      </c>
      <c r="W164" s="156">
        <f t="shared" si="91"/>
        <v>0</v>
      </c>
      <c r="X164" s="156"/>
      <c r="Y164" s="156">
        <f t="shared" si="92"/>
        <v>0</v>
      </c>
      <c r="Z164" s="155"/>
      <c r="AA164" s="155">
        <f t="shared" si="93"/>
        <v>0</v>
      </c>
      <c r="AB164" s="155"/>
      <c r="AC164" s="155">
        <f t="shared" si="94"/>
        <v>0</v>
      </c>
      <c r="AE164" s="155">
        <f t="shared" si="95"/>
        <v>0</v>
      </c>
      <c r="AG164" s="155">
        <f t="shared" si="96"/>
        <v>0</v>
      </c>
      <c r="AH164" s="156"/>
      <c r="AI164" s="157">
        <f t="shared" si="97"/>
        <v>0</v>
      </c>
    </row>
    <row r="165" spans="3:35" ht="15.75" customHeight="1">
      <c r="C165" s="159">
        <v>334</v>
      </c>
      <c r="E165" s="149" t="s">
        <v>757</v>
      </c>
      <c r="F165" s="222"/>
      <c r="G165" s="261">
        <v>1</v>
      </c>
      <c r="H165" s="222"/>
      <c r="I165" s="285">
        <f>+'Linkin (2)'!W22</f>
        <v>940</v>
      </c>
      <c r="K165" s="156">
        <f t="shared" si="85"/>
        <v>673</v>
      </c>
      <c r="M165" s="156">
        <f t="shared" si="86"/>
        <v>267</v>
      </c>
      <c r="N165" s="156"/>
      <c r="O165" s="156">
        <f t="shared" si="87"/>
        <v>0</v>
      </c>
      <c r="P165" s="156"/>
      <c r="Q165" s="156">
        <f t="shared" si="88"/>
        <v>0</v>
      </c>
      <c r="R165" s="156"/>
      <c r="S165" s="155">
        <f t="shared" si="89"/>
        <v>0</v>
      </c>
      <c r="T165" s="155"/>
      <c r="U165" s="155">
        <f t="shared" si="90"/>
        <v>0</v>
      </c>
      <c r="W165" s="156">
        <f t="shared" si="91"/>
        <v>0</v>
      </c>
      <c r="X165" s="156"/>
      <c r="Y165" s="156">
        <f t="shared" si="92"/>
        <v>0</v>
      </c>
      <c r="Z165" s="155"/>
      <c r="AA165" s="155">
        <f t="shared" si="93"/>
        <v>0</v>
      </c>
      <c r="AB165" s="155"/>
      <c r="AC165" s="155">
        <f t="shared" si="94"/>
        <v>0</v>
      </c>
      <c r="AE165" s="155">
        <f t="shared" si="95"/>
        <v>0</v>
      </c>
      <c r="AG165" s="155">
        <f t="shared" si="96"/>
        <v>0</v>
      </c>
      <c r="AH165" s="156"/>
      <c r="AI165" s="157">
        <f t="shared" si="97"/>
        <v>0</v>
      </c>
    </row>
    <row r="166" spans="3:35" ht="15.75" customHeight="1">
      <c r="C166" s="159">
        <v>335</v>
      </c>
      <c r="E166" s="149" t="s">
        <v>762</v>
      </c>
      <c r="F166" s="222"/>
      <c r="G166" s="261">
        <v>1</v>
      </c>
      <c r="H166" s="222"/>
      <c r="I166" s="285">
        <f>+'Linkin (2)'!W23</f>
        <v>21</v>
      </c>
      <c r="K166" s="156">
        <f t="shared" si="85"/>
        <v>15</v>
      </c>
      <c r="M166" s="156">
        <f t="shared" si="86"/>
        <v>6</v>
      </c>
      <c r="N166" s="156"/>
      <c r="O166" s="156">
        <f t="shared" si="87"/>
        <v>0</v>
      </c>
      <c r="P166" s="156"/>
      <c r="Q166" s="156">
        <f t="shared" si="88"/>
        <v>0</v>
      </c>
      <c r="R166" s="156"/>
      <c r="S166" s="155">
        <f t="shared" si="89"/>
        <v>0</v>
      </c>
      <c r="T166" s="155"/>
      <c r="U166" s="155">
        <f t="shared" si="90"/>
        <v>0</v>
      </c>
      <c r="W166" s="156">
        <f t="shared" si="91"/>
        <v>0</v>
      </c>
      <c r="X166" s="156"/>
      <c r="Y166" s="156">
        <f t="shared" si="92"/>
        <v>0</v>
      </c>
      <c r="Z166" s="155"/>
      <c r="AA166" s="155">
        <f t="shared" si="93"/>
        <v>0</v>
      </c>
      <c r="AB166" s="155"/>
      <c r="AC166" s="155">
        <f t="shared" si="94"/>
        <v>0</v>
      </c>
      <c r="AE166" s="155">
        <f t="shared" si="95"/>
        <v>0</v>
      </c>
      <c r="AG166" s="155">
        <f t="shared" si="96"/>
        <v>0</v>
      </c>
      <c r="AH166" s="156"/>
      <c r="AI166" s="157">
        <f t="shared" si="97"/>
        <v>0</v>
      </c>
    </row>
    <row r="167" spans="3:35" ht="15.75" customHeight="1">
      <c r="C167" s="159">
        <v>337</v>
      </c>
      <c r="E167" s="149" t="s">
        <v>169</v>
      </c>
      <c r="F167" s="222"/>
      <c r="G167" s="261">
        <v>1</v>
      </c>
      <c r="H167" s="222"/>
      <c r="I167" s="285">
        <f>+'Linkin (2)'!W24</f>
        <v>0</v>
      </c>
      <c r="K167" s="156">
        <f t="shared" si="85"/>
        <v>0</v>
      </c>
      <c r="M167" s="156">
        <f t="shared" si="86"/>
        <v>0</v>
      </c>
      <c r="N167" s="156"/>
      <c r="O167" s="156">
        <f t="shared" si="87"/>
        <v>0</v>
      </c>
      <c r="P167" s="156"/>
      <c r="Q167" s="156">
        <f t="shared" si="88"/>
        <v>0</v>
      </c>
      <c r="R167" s="156"/>
      <c r="S167" s="155">
        <f t="shared" si="89"/>
        <v>0</v>
      </c>
      <c r="T167" s="155"/>
      <c r="U167" s="155">
        <f t="shared" si="90"/>
        <v>0</v>
      </c>
      <c r="W167" s="156">
        <f t="shared" si="91"/>
        <v>0</v>
      </c>
      <c r="X167" s="156"/>
      <c r="Y167" s="156">
        <f t="shared" si="92"/>
        <v>0</v>
      </c>
      <c r="Z167" s="155"/>
      <c r="AA167" s="155">
        <f t="shared" si="93"/>
        <v>0</v>
      </c>
      <c r="AB167" s="155"/>
      <c r="AC167" s="155">
        <f t="shared" si="94"/>
        <v>0</v>
      </c>
      <c r="AE167" s="155">
        <f t="shared" si="95"/>
        <v>0</v>
      </c>
      <c r="AG167" s="155">
        <f t="shared" si="96"/>
        <v>0</v>
      </c>
      <c r="AH167" s="156"/>
      <c r="AI167" s="157">
        <f t="shared" si="97"/>
        <v>0</v>
      </c>
    </row>
    <row r="168" spans="3:35" s="27" customFormat="1" ht="15.75" customHeight="1">
      <c r="C168" s="45"/>
      <c r="E168" s="27" t="s">
        <v>768</v>
      </c>
      <c r="F168" s="476"/>
      <c r="G168" s="477"/>
      <c r="H168" s="476"/>
      <c r="I168" s="797">
        <f>SUM(I157:I167)</f>
        <v>343873</v>
      </c>
      <c r="J168" s="476"/>
      <c r="K168" s="797">
        <f t="shared" ref="K168" si="98">SUM(K157:K167)</f>
        <v>246042</v>
      </c>
      <c r="L168" s="476"/>
      <c r="M168" s="797">
        <f t="shared" ref="M168" si="99">SUM(M157:M167)</f>
        <v>97831</v>
      </c>
      <c r="N168" s="476"/>
      <c r="O168" s="797">
        <f t="shared" ref="O168" si="100">SUM(O157:O167)</f>
        <v>0</v>
      </c>
      <c r="P168" s="476"/>
      <c r="Q168" s="797">
        <f t="shared" ref="Q168" si="101">SUM(Q157:Q167)</f>
        <v>0</v>
      </c>
      <c r="R168" s="476"/>
      <c r="S168" s="797">
        <f t="shared" ref="S168" si="102">SUM(S157:S167)</f>
        <v>0</v>
      </c>
      <c r="T168" s="476"/>
      <c r="U168" s="797">
        <f t="shared" ref="U168" si="103">SUM(U157:U167)</f>
        <v>0</v>
      </c>
      <c r="V168" s="476"/>
      <c r="W168" s="797">
        <f t="shared" ref="W168" si="104">SUM(W157:W167)</f>
        <v>0</v>
      </c>
      <c r="X168" s="476"/>
      <c r="Y168" s="797">
        <f t="shared" ref="Y168" si="105">SUM(Y157:Y167)</f>
        <v>0</v>
      </c>
      <c r="Z168" s="476"/>
      <c r="AA168" s="797">
        <f t="shared" ref="AA168" si="106">SUM(AA157:AA167)</f>
        <v>0</v>
      </c>
      <c r="AB168" s="476"/>
      <c r="AC168" s="797">
        <f t="shared" ref="AC168" si="107">SUM(AC157:AC167)</f>
        <v>0</v>
      </c>
      <c r="AD168" s="476"/>
      <c r="AE168" s="797">
        <f t="shared" ref="AE168" si="108">SUM(AE157:AE167)</f>
        <v>0</v>
      </c>
      <c r="AF168" s="476"/>
      <c r="AG168" s="797">
        <f t="shared" ref="AG168" si="109">SUM(AG157:AG167)</f>
        <v>0</v>
      </c>
      <c r="AI168" s="157">
        <f t="shared" si="97"/>
        <v>0</v>
      </c>
    </row>
    <row r="169" spans="3:35" ht="15.75" customHeight="1">
      <c r="C169" s="159"/>
      <c r="E169" s="87"/>
      <c r="F169" s="222"/>
      <c r="G169" s="261"/>
      <c r="H169" s="222"/>
      <c r="I169" s="285"/>
      <c r="AI169" s="157">
        <f t="shared" si="97"/>
        <v>0</v>
      </c>
    </row>
    <row r="170" spans="3:35" ht="15.75" customHeight="1">
      <c r="C170" s="27" t="s">
        <v>680</v>
      </c>
      <c r="E170" s="222"/>
      <c r="F170" s="222"/>
      <c r="G170" s="261"/>
      <c r="H170" s="222"/>
      <c r="I170" s="285"/>
      <c r="AI170" s="157">
        <f t="shared" si="97"/>
        <v>0</v>
      </c>
    </row>
    <row r="171" spans="3:35" s="27" customFormat="1" ht="15.75" customHeight="1">
      <c r="C171" s="45">
        <v>352.01</v>
      </c>
      <c r="E171" s="27" t="s">
        <v>763</v>
      </c>
      <c r="F171" s="476"/>
      <c r="G171" s="477">
        <v>1</v>
      </c>
      <c r="H171" s="476"/>
      <c r="I171" s="487">
        <f>+'Linkin (2)'!W28</f>
        <v>15970</v>
      </c>
      <c r="K171" s="796">
        <f>ROUND(VLOOKUP($G171,factors,+K$376)*$I171,0)</f>
        <v>11427</v>
      </c>
      <c r="M171" s="796">
        <f>ROUND(VLOOKUP($G171,factors,+M$376)*$I171,0)</f>
        <v>4543</v>
      </c>
      <c r="N171" s="796"/>
      <c r="O171" s="796">
        <f>ROUND(VLOOKUP($G171,factors,+O$376)*$I171,0)</f>
        <v>0</v>
      </c>
      <c r="P171" s="796"/>
      <c r="Q171" s="796">
        <f>ROUND(VLOOKUP($G171,factors,+Q$376)*$I171,0)</f>
        <v>0</v>
      </c>
      <c r="R171" s="796"/>
      <c r="S171" s="249">
        <f>ROUND(VLOOKUP($G171,factors,+S$376)*$I171,0)</f>
        <v>0</v>
      </c>
      <c r="T171" s="249"/>
      <c r="U171" s="249">
        <f>ROUND(VLOOKUP($G171,factors,+U$376)*$I171,0)</f>
        <v>0</v>
      </c>
      <c r="W171" s="796">
        <f>ROUND(VLOOKUP($G171,factors,+W$376)*$I171,0)</f>
        <v>0</v>
      </c>
      <c r="X171" s="796"/>
      <c r="Y171" s="796">
        <f>ROUND(VLOOKUP($G171,factors,+Y$376)*$I171,0)</f>
        <v>0</v>
      </c>
      <c r="Z171" s="249"/>
      <c r="AA171" s="249">
        <f>ROUND(VLOOKUP($G171,factors,+AA$376)*$I171,0)</f>
        <v>0</v>
      </c>
      <c r="AB171" s="249"/>
      <c r="AC171" s="249">
        <f>ROUND(VLOOKUP($G171,factors,+AC$376)*$I171,0)</f>
        <v>0</v>
      </c>
      <c r="AE171" s="249">
        <f>ROUND(VLOOKUP($G171,factors,+AE$376)*$I171,0)</f>
        <v>0</v>
      </c>
      <c r="AG171" s="249">
        <f>ROUND(VLOOKUP($G171,factors,+AG$376)*$I171,0)</f>
        <v>0</v>
      </c>
      <c r="AH171" s="796"/>
      <c r="AI171" s="157">
        <f t="shared" si="97"/>
        <v>0</v>
      </c>
    </row>
    <row r="172" spans="3:35" ht="15.75" customHeight="1">
      <c r="C172" s="159"/>
      <c r="E172" s="87"/>
      <c r="F172" s="222"/>
      <c r="G172" s="261"/>
      <c r="H172" s="222"/>
      <c r="I172" s="285"/>
      <c r="AI172" s="157">
        <f t="shared" si="97"/>
        <v>0</v>
      </c>
    </row>
    <row r="173" spans="3:35" ht="15.75" customHeight="1">
      <c r="C173" s="718" t="s">
        <v>683</v>
      </c>
      <c r="E173" s="87"/>
      <c r="F173" s="222"/>
      <c r="G173" s="261"/>
      <c r="H173" s="222"/>
      <c r="I173" s="285"/>
      <c r="AI173" s="157">
        <f t="shared" si="97"/>
        <v>0</v>
      </c>
    </row>
    <row r="174" spans="3:35" ht="15.75" customHeight="1">
      <c r="C174" s="159">
        <v>365.2</v>
      </c>
      <c r="E174" s="149" t="s">
        <v>756</v>
      </c>
      <c r="F174" s="222"/>
      <c r="G174" s="261">
        <v>4</v>
      </c>
      <c r="H174" s="222"/>
      <c r="I174" s="285">
        <f>+'Linkin (2)'!$W32</f>
        <v>12347</v>
      </c>
      <c r="K174" s="156">
        <f t="shared" ref="K174:K180" si="110">ROUND(VLOOKUP($G174,factors,+K$376)*$I174,0)</f>
        <v>6467</v>
      </c>
      <c r="M174" s="156">
        <f t="shared" ref="M174:M180" si="111">ROUND(VLOOKUP($G174,factors,+M$376)*$I174,0)</f>
        <v>3567</v>
      </c>
      <c r="N174" s="156"/>
      <c r="O174" s="156">
        <f t="shared" ref="O174:O180" si="112">ROUND(VLOOKUP($G174,factors,+O$376)*$I174,0)</f>
        <v>967</v>
      </c>
      <c r="P174" s="156"/>
      <c r="Q174" s="156">
        <f t="shared" ref="Q174:Q180" si="113">ROUND(VLOOKUP($G174,factors,+Q$376)*$I174,0)</f>
        <v>951</v>
      </c>
      <c r="R174" s="156"/>
      <c r="S174" s="155">
        <f t="shared" ref="S174:S180" si="114">ROUND(VLOOKUP($G174,factors,+S$376)*$I174,0)</f>
        <v>0</v>
      </c>
      <c r="T174" s="155"/>
      <c r="U174" s="155">
        <f t="shared" ref="U174:U180" si="115">ROUND(VLOOKUP($G174,factors,+U$376)*$I174,0)</f>
        <v>395</v>
      </c>
      <c r="W174" s="156">
        <f t="shared" ref="W174:W180" si="116">ROUND(VLOOKUP($G174,factors,+W$376)*$I174,0)</f>
        <v>0</v>
      </c>
      <c r="X174" s="156"/>
      <c r="Y174" s="156">
        <f t="shared" ref="Y174:Y180" si="117">ROUND(VLOOKUP($G174,factors,+Y$376)*$I174,0)</f>
        <v>0</v>
      </c>
      <c r="Z174" s="155"/>
      <c r="AA174" s="155">
        <f t="shared" ref="AA174:AA180" si="118">ROUND(VLOOKUP($G174,factors,+AA$376)*$I174,0)</f>
        <v>0</v>
      </c>
      <c r="AB174" s="155"/>
      <c r="AC174" s="155">
        <f t="shared" ref="AC174:AC180" si="119">ROUND(VLOOKUP($G174,factors,+AC$376)*$I174,0)</f>
        <v>0</v>
      </c>
      <c r="AE174" s="155">
        <f t="shared" ref="AE174:AE180" si="120">ROUND(VLOOKUP($G174,factors,+AE$376)*$I174,0)</f>
        <v>0</v>
      </c>
      <c r="AG174" s="155">
        <f t="shared" ref="AG174:AG180" si="121">ROUND(VLOOKUP($G174,factors,+AG$376)*$I174,0)</f>
        <v>0</v>
      </c>
      <c r="AH174" s="156"/>
      <c r="AI174" s="157">
        <f t="shared" si="97"/>
        <v>0</v>
      </c>
    </row>
    <row r="175" spans="3:35" ht="15.75" customHeight="1">
      <c r="C175" s="159">
        <v>366</v>
      </c>
      <c r="E175" s="222" t="s">
        <v>531</v>
      </c>
      <c r="F175" s="222"/>
      <c r="G175" s="261">
        <v>4</v>
      </c>
      <c r="H175" s="222"/>
      <c r="I175" s="285">
        <f>+'Linkin (2)'!$W33</f>
        <v>1237</v>
      </c>
      <c r="K175" s="156">
        <f t="shared" si="110"/>
        <v>648</v>
      </c>
      <c r="M175" s="156">
        <f t="shared" si="111"/>
        <v>357</v>
      </c>
      <c r="N175" s="156"/>
      <c r="O175" s="156">
        <f t="shared" si="112"/>
        <v>97</v>
      </c>
      <c r="P175" s="156"/>
      <c r="Q175" s="156">
        <f t="shared" si="113"/>
        <v>95</v>
      </c>
      <c r="R175" s="156"/>
      <c r="S175" s="155">
        <f t="shared" si="114"/>
        <v>0</v>
      </c>
      <c r="T175" s="155"/>
      <c r="U175" s="155">
        <f t="shared" si="115"/>
        <v>40</v>
      </c>
      <c r="W175" s="156">
        <f t="shared" si="116"/>
        <v>0</v>
      </c>
      <c r="X175" s="156"/>
      <c r="Y175" s="156">
        <f t="shared" si="117"/>
        <v>0</v>
      </c>
      <c r="Z175" s="155"/>
      <c r="AA175" s="155">
        <f t="shared" si="118"/>
        <v>0</v>
      </c>
      <c r="AB175" s="155"/>
      <c r="AC175" s="155">
        <f t="shared" si="119"/>
        <v>0</v>
      </c>
      <c r="AE175" s="155">
        <f t="shared" si="120"/>
        <v>0</v>
      </c>
      <c r="AG175" s="155">
        <f t="shared" si="121"/>
        <v>0</v>
      </c>
      <c r="AH175" s="156"/>
      <c r="AI175" s="157">
        <f t="shared" si="97"/>
        <v>0</v>
      </c>
    </row>
    <row r="176" spans="3:35" ht="15.75" customHeight="1">
      <c r="C176" s="159">
        <v>367</v>
      </c>
      <c r="E176" s="222" t="s">
        <v>158</v>
      </c>
      <c r="F176" s="222"/>
      <c r="G176" s="261">
        <v>4</v>
      </c>
      <c r="H176" s="222"/>
      <c r="I176" s="285">
        <f>+'Linkin (2)'!$W34</f>
        <v>462699</v>
      </c>
      <c r="K176" s="156">
        <f t="shared" si="110"/>
        <v>242362</v>
      </c>
      <c r="M176" s="156">
        <f t="shared" si="111"/>
        <v>133674</v>
      </c>
      <c r="N176" s="156"/>
      <c r="O176" s="156">
        <f t="shared" si="112"/>
        <v>36229</v>
      </c>
      <c r="P176" s="156"/>
      <c r="Q176" s="156">
        <f t="shared" si="113"/>
        <v>35628</v>
      </c>
      <c r="R176" s="156"/>
      <c r="S176" s="155">
        <f t="shared" si="114"/>
        <v>0</v>
      </c>
      <c r="T176" s="155"/>
      <c r="U176" s="155">
        <f t="shared" si="115"/>
        <v>14806</v>
      </c>
      <c r="W176" s="156">
        <f t="shared" si="116"/>
        <v>0</v>
      </c>
      <c r="X176" s="156"/>
      <c r="Y176" s="156">
        <f t="shared" si="117"/>
        <v>0</v>
      </c>
      <c r="Z176" s="155"/>
      <c r="AA176" s="155">
        <f t="shared" si="118"/>
        <v>0</v>
      </c>
      <c r="AB176" s="155"/>
      <c r="AC176" s="155">
        <f t="shared" si="119"/>
        <v>0</v>
      </c>
      <c r="AE176" s="155">
        <f t="shared" si="120"/>
        <v>0</v>
      </c>
      <c r="AG176" s="155">
        <f t="shared" si="121"/>
        <v>0</v>
      </c>
      <c r="AH176" s="156"/>
      <c r="AI176" s="157">
        <f t="shared" si="97"/>
        <v>0</v>
      </c>
    </row>
    <row r="177" spans="1:35" ht="15.75" customHeight="1">
      <c r="C177" s="159">
        <v>369</v>
      </c>
      <c r="E177" s="222" t="s">
        <v>765</v>
      </c>
      <c r="F177" s="222"/>
      <c r="G177" s="261">
        <v>4</v>
      </c>
      <c r="H177" s="222"/>
      <c r="I177" s="285">
        <f>+'Linkin (2)'!$W35</f>
        <v>98424</v>
      </c>
      <c r="K177" s="156">
        <f t="shared" si="110"/>
        <v>51554</v>
      </c>
      <c r="M177" s="156">
        <f t="shared" si="111"/>
        <v>28435</v>
      </c>
      <c r="N177" s="156"/>
      <c r="O177" s="156">
        <f t="shared" si="112"/>
        <v>7707</v>
      </c>
      <c r="P177" s="156"/>
      <c r="Q177" s="156">
        <f t="shared" si="113"/>
        <v>7579</v>
      </c>
      <c r="R177" s="156"/>
      <c r="S177" s="155">
        <f t="shared" si="114"/>
        <v>0</v>
      </c>
      <c r="T177" s="155"/>
      <c r="U177" s="155">
        <f t="shared" si="115"/>
        <v>3150</v>
      </c>
      <c r="W177" s="156">
        <f t="shared" si="116"/>
        <v>0</v>
      </c>
      <c r="X177" s="156"/>
      <c r="Y177" s="156">
        <f t="shared" si="117"/>
        <v>0</v>
      </c>
      <c r="Z177" s="155"/>
      <c r="AA177" s="155">
        <f t="shared" si="118"/>
        <v>0</v>
      </c>
      <c r="AB177" s="155"/>
      <c r="AC177" s="155">
        <f t="shared" si="119"/>
        <v>0</v>
      </c>
      <c r="AE177" s="155">
        <f t="shared" si="120"/>
        <v>0</v>
      </c>
      <c r="AG177" s="155">
        <f t="shared" si="121"/>
        <v>0</v>
      </c>
      <c r="AH177" s="156"/>
      <c r="AI177" s="157">
        <f t="shared" si="97"/>
        <v>1</v>
      </c>
    </row>
    <row r="178" spans="1:35" ht="15.75" customHeight="1">
      <c r="C178" s="159">
        <v>370</v>
      </c>
      <c r="E178" s="222" t="s">
        <v>766</v>
      </c>
      <c r="F178" s="222"/>
      <c r="G178" s="261">
        <v>4</v>
      </c>
      <c r="H178" s="222"/>
      <c r="I178" s="285">
        <f>+'Linkin (2)'!$W36</f>
        <v>119305</v>
      </c>
      <c r="K178" s="156">
        <f t="shared" si="110"/>
        <v>62492</v>
      </c>
      <c r="M178" s="156">
        <f t="shared" si="111"/>
        <v>34467</v>
      </c>
      <c r="N178" s="156"/>
      <c r="O178" s="156">
        <f t="shared" si="112"/>
        <v>9342</v>
      </c>
      <c r="P178" s="156"/>
      <c r="Q178" s="156">
        <f t="shared" si="113"/>
        <v>9186</v>
      </c>
      <c r="R178" s="156"/>
      <c r="S178" s="155">
        <f t="shared" si="114"/>
        <v>0</v>
      </c>
      <c r="T178" s="155"/>
      <c r="U178" s="155">
        <f t="shared" si="115"/>
        <v>3818</v>
      </c>
      <c r="W178" s="156">
        <f t="shared" si="116"/>
        <v>0</v>
      </c>
      <c r="X178" s="156"/>
      <c r="Y178" s="156">
        <f t="shared" si="117"/>
        <v>0</v>
      </c>
      <c r="Z178" s="155"/>
      <c r="AA178" s="155">
        <f t="shared" si="118"/>
        <v>0</v>
      </c>
      <c r="AB178" s="155"/>
      <c r="AC178" s="155">
        <f t="shared" si="119"/>
        <v>0</v>
      </c>
      <c r="AE178" s="155">
        <f t="shared" si="120"/>
        <v>0</v>
      </c>
      <c r="AG178" s="155">
        <f t="shared" si="121"/>
        <v>0</v>
      </c>
      <c r="AH178" s="156"/>
      <c r="AI178" s="157">
        <f t="shared" si="97"/>
        <v>0</v>
      </c>
    </row>
    <row r="179" spans="1:35" ht="15.75" customHeight="1">
      <c r="C179" s="159">
        <v>371</v>
      </c>
      <c r="E179" s="222" t="s">
        <v>169</v>
      </c>
      <c r="F179" s="222"/>
      <c r="G179" s="261">
        <v>4</v>
      </c>
      <c r="H179" s="222"/>
      <c r="I179" s="285">
        <f>+'Linkin (2)'!$W37</f>
        <v>1368</v>
      </c>
      <c r="K179" s="156">
        <f t="shared" si="110"/>
        <v>717</v>
      </c>
      <c r="M179" s="156">
        <f t="shared" si="111"/>
        <v>395</v>
      </c>
      <c r="N179" s="156"/>
      <c r="O179" s="156">
        <f t="shared" si="112"/>
        <v>107</v>
      </c>
      <c r="P179" s="156"/>
      <c r="Q179" s="156">
        <f t="shared" si="113"/>
        <v>105</v>
      </c>
      <c r="R179" s="156"/>
      <c r="S179" s="155">
        <f t="shared" si="114"/>
        <v>0</v>
      </c>
      <c r="T179" s="155"/>
      <c r="U179" s="155">
        <f t="shared" si="115"/>
        <v>44</v>
      </c>
      <c r="W179" s="156">
        <f t="shared" si="116"/>
        <v>0</v>
      </c>
      <c r="X179" s="156"/>
      <c r="Y179" s="156">
        <f t="shared" si="117"/>
        <v>0</v>
      </c>
      <c r="Z179" s="155"/>
      <c r="AA179" s="155">
        <f t="shared" si="118"/>
        <v>0</v>
      </c>
      <c r="AB179" s="155"/>
      <c r="AC179" s="155">
        <f t="shared" si="119"/>
        <v>0</v>
      </c>
      <c r="AE179" s="155">
        <f t="shared" si="120"/>
        <v>0</v>
      </c>
      <c r="AG179" s="155">
        <f t="shared" si="121"/>
        <v>0</v>
      </c>
      <c r="AH179" s="156"/>
      <c r="AI179" s="157">
        <f t="shared" si="97"/>
        <v>0</v>
      </c>
    </row>
    <row r="180" spans="1:35" ht="15.75" customHeight="1">
      <c r="C180" s="159">
        <v>371.1</v>
      </c>
      <c r="E180" s="222" t="s">
        <v>767</v>
      </c>
      <c r="F180" s="222"/>
      <c r="G180" s="261">
        <v>4</v>
      </c>
      <c r="H180" s="222"/>
      <c r="I180" s="285">
        <f>+'Linkin (2)'!$W38</f>
        <v>5572</v>
      </c>
      <c r="K180" s="156">
        <f t="shared" si="110"/>
        <v>2919</v>
      </c>
      <c r="M180" s="156">
        <f t="shared" si="111"/>
        <v>1610</v>
      </c>
      <c r="N180" s="156"/>
      <c r="O180" s="156">
        <f t="shared" si="112"/>
        <v>436</v>
      </c>
      <c r="P180" s="156"/>
      <c r="Q180" s="156">
        <f t="shared" si="113"/>
        <v>429</v>
      </c>
      <c r="R180" s="156"/>
      <c r="S180" s="155">
        <f t="shared" si="114"/>
        <v>0</v>
      </c>
      <c r="T180" s="155"/>
      <c r="U180" s="155">
        <f t="shared" si="115"/>
        <v>178</v>
      </c>
      <c r="W180" s="156">
        <f t="shared" si="116"/>
        <v>0</v>
      </c>
      <c r="X180" s="156"/>
      <c r="Y180" s="156">
        <f t="shared" si="117"/>
        <v>0</v>
      </c>
      <c r="Z180" s="155"/>
      <c r="AA180" s="155">
        <f t="shared" si="118"/>
        <v>0</v>
      </c>
      <c r="AB180" s="155"/>
      <c r="AC180" s="155">
        <f t="shared" si="119"/>
        <v>0</v>
      </c>
      <c r="AE180" s="155">
        <f t="shared" si="120"/>
        <v>0</v>
      </c>
      <c r="AG180" s="155">
        <f t="shared" si="121"/>
        <v>0</v>
      </c>
      <c r="AH180" s="156"/>
      <c r="AI180" s="157">
        <f t="shared" si="97"/>
        <v>0</v>
      </c>
    </row>
    <row r="181" spans="1:35" s="27" customFormat="1" ht="15.75" customHeight="1">
      <c r="C181" s="45"/>
      <c r="E181" s="476" t="s">
        <v>769</v>
      </c>
      <c r="F181" s="476"/>
      <c r="G181" s="477"/>
      <c r="H181" s="476"/>
      <c r="I181" s="797">
        <f>SUM(I174:I180)</f>
        <v>700952</v>
      </c>
      <c r="J181" s="476"/>
      <c r="K181" s="797">
        <f t="shared" ref="K181" si="122">SUM(K174:K180)</f>
        <v>367159</v>
      </c>
      <c r="L181" s="476"/>
      <c r="M181" s="797">
        <f t="shared" ref="M181" si="123">SUM(M174:M180)</f>
        <v>202505</v>
      </c>
      <c r="N181" s="476"/>
      <c r="O181" s="797">
        <f t="shared" ref="O181" si="124">SUM(O174:O180)</f>
        <v>54885</v>
      </c>
      <c r="P181" s="476"/>
      <c r="Q181" s="797">
        <f t="shared" ref="Q181" si="125">SUM(Q174:Q180)</f>
        <v>53973</v>
      </c>
      <c r="R181" s="476"/>
      <c r="S181" s="797">
        <f t="shared" ref="S181" si="126">SUM(S174:S180)</f>
        <v>0</v>
      </c>
      <c r="T181" s="476"/>
      <c r="U181" s="797">
        <f t="shared" ref="U181" si="127">SUM(U174:U180)</f>
        <v>22431</v>
      </c>
      <c r="V181" s="476"/>
      <c r="W181" s="797">
        <f t="shared" ref="W181" si="128">SUM(W174:W180)</f>
        <v>0</v>
      </c>
      <c r="X181" s="476"/>
      <c r="Y181" s="797">
        <f t="shared" ref="Y181" si="129">SUM(Y174:Y180)</f>
        <v>0</v>
      </c>
      <c r="Z181" s="476"/>
      <c r="AA181" s="797">
        <f t="shared" ref="AA181" si="130">SUM(AA174:AA180)</f>
        <v>0</v>
      </c>
      <c r="AB181" s="476"/>
      <c r="AC181" s="797">
        <f t="shared" ref="AC181" si="131">SUM(AC174:AC180)</f>
        <v>0</v>
      </c>
      <c r="AD181" s="476"/>
      <c r="AE181" s="797">
        <f t="shared" ref="AE181" si="132">SUM(AE174:AE180)</f>
        <v>0</v>
      </c>
      <c r="AF181" s="476"/>
      <c r="AG181" s="797">
        <f t="shared" ref="AG181" si="133">SUM(AG174:AG180)</f>
        <v>0</v>
      </c>
      <c r="AI181" s="157">
        <f t="shared" si="97"/>
        <v>1</v>
      </c>
    </row>
    <row r="182" spans="1:35" ht="15.75" customHeight="1">
      <c r="E182" s="482"/>
      <c r="F182" s="222"/>
      <c r="G182" s="261"/>
      <c r="H182" s="222"/>
      <c r="I182" s="285"/>
      <c r="AI182" s="157">
        <f t="shared" si="97"/>
        <v>0</v>
      </c>
    </row>
    <row r="183" spans="1:35" ht="15.75" customHeight="1">
      <c r="C183" s="27" t="s">
        <v>239</v>
      </c>
      <c r="E183" s="222"/>
      <c r="F183" s="222"/>
      <c r="G183" s="261"/>
      <c r="H183" s="222"/>
      <c r="I183" s="285"/>
      <c r="S183" s="155"/>
      <c r="T183" s="155"/>
      <c r="U183" s="155"/>
      <c r="Z183" s="155"/>
      <c r="AA183" s="155"/>
      <c r="AB183" s="155"/>
      <c r="AC183" s="155"/>
      <c r="AE183" s="155"/>
      <c r="AG183" s="155"/>
      <c r="AI183" s="157">
        <f t="shared" si="97"/>
        <v>0</v>
      </c>
    </row>
    <row r="184" spans="1:35" ht="15.75" customHeight="1">
      <c r="C184" s="176">
        <v>305</v>
      </c>
      <c r="E184" s="260" t="s">
        <v>527</v>
      </c>
      <c r="F184" s="222"/>
      <c r="G184" s="261">
        <v>1</v>
      </c>
      <c r="H184" s="222"/>
      <c r="I184" s="285">
        <f>+Linkin!H142</f>
        <v>0</v>
      </c>
      <c r="K184" s="156">
        <f>ROUND(VLOOKUP($G184,factors,+K$376)*$I184,0)</f>
        <v>0</v>
      </c>
      <c r="M184" s="156">
        <f>ROUND(VLOOKUP($G184,factors,+M$376)*$I184,0)</f>
        <v>0</v>
      </c>
      <c r="N184" s="156"/>
      <c r="O184" s="156">
        <f>ROUND(VLOOKUP($G184,factors,+O$376)*$I184,0)</f>
        <v>0</v>
      </c>
      <c r="P184" s="156"/>
      <c r="Q184" s="156">
        <f>ROUND(VLOOKUP($G184,factors,+Q$376)*$I184,0)</f>
        <v>0</v>
      </c>
      <c r="R184" s="156"/>
      <c r="S184" s="155">
        <f>ROUND(VLOOKUP($G184,factors,+S$376)*$I184,0)</f>
        <v>0</v>
      </c>
      <c r="T184" s="155"/>
      <c r="U184" s="155">
        <f>ROUND(VLOOKUP($G184,factors,+U$376)*$I184,0)</f>
        <v>0</v>
      </c>
      <c r="V184" s="155"/>
      <c r="W184" s="155">
        <f>ROUND(VLOOKUP($G184,factors,+W$376)*$I184,0)</f>
        <v>0</v>
      </c>
      <c r="X184" s="155"/>
      <c r="Y184" s="155">
        <f>ROUND(VLOOKUP($G184,factors,+Y$376)*$I184,0)</f>
        <v>0</v>
      </c>
      <c r="Z184" s="155"/>
      <c r="AA184" s="155">
        <f>ROUND(VLOOKUP($G184,factors,+AA$376)*$I184,0)</f>
        <v>0</v>
      </c>
      <c r="AB184" s="155"/>
      <c r="AC184" s="156">
        <f>ROUND(VLOOKUP($G184,factors,+AC$376)*$I184,0)</f>
        <v>0</v>
      </c>
      <c r="AD184" s="155"/>
      <c r="AE184" s="156">
        <f>ROUND(VLOOKUP($G184,factors,+AE$376)*$I184,0)</f>
        <v>0</v>
      </c>
      <c r="AF184" s="155"/>
      <c r="AG184" s="156">
        <f>ROUND(VLOOKUP($G184,factors,+AG$376)*$I184,0)</f>
        <v>0</v>
      </c>
      <c r="AI184" s="157">
        <f t="shared" si="97"/>
        <v>0</v>
      </c>
    </row>
    <row r="185" spans="1:35" ht="15.75" customHeight="1">
      <c r="C185" s="573">
        <v>374.2</v>
      </c>
      <c r="E185" s="260" t="s">
        <v>776</v>
      </c>
      <c r="F185" s="222"/>
      <c r="G185" s="261">
        <v>18</v>
      </c>
      <c r="H185" s="222"/>
      <c r="I185" s="285">
        <f>+'Linkin (2)'!W42</f>
        <v>42062</v>
      </c>
      <c r="K185" s="156">
        <f>ROUND(VLOOKUP($G185,factors,+K$376)*$I185,0)</f>
        <v>20703</v>
      </c>
      <c r="M185" s="156">
        <f>ROUND(VLOOKUP($G185,factors,+M$376)*$I185,0)</f>
        <v>11420</v>
      </c>
      <c r="N185" s="156"/>
      <c r="O185" s="156">
        <f>ROUND(VLOOKUP($G185,factors,+O$376)*$I185,0)</f>
        <v>3096</v>
      </c>
      <c r="P185" s="156"/>
      <c r="Q185" s="156">
        <f>ROUND(VLOOKUP($G185,factors,+Q$376)*$I185,0)</f>
        <v>3045</v>
      </c>
      <c r="R185" s="156"/>
      <c r="S185" s="155">
        <f>ROUND(VLOOKUP($G185,factors,+S$376)*$I185,0)</f>
        <v>2520</v>
      </c>
      <c r="T185" s="155"/>
      <c r="U185" s="155">
        <f>ROUND(VLOOKUP($G185,factors,+U$376)*$I185,0)</f>
        <v>1279</v>
      </c>
      <c r="V185" s="155"/>
      <c r="W185" s="155">
        <f>ROUND(VLOOKUP($G185,factors,+W$376)*$I185,0)</f>
        <v>0</v>
      </c>
      <c r="X185" s="155"/>
      <c r="Y185" s="155">
        <f>ROUND(VLOOKUP($G185,factors,+Y$376)*$I185,0)</f>
        <v>0</v>
      </c>
      <c r="Z185" s="155"/>
      <c r="AA185" s="155">
        <f>ROUND(VLOOKUP($G185,factors,+AA$376)*$I185,0)</f>
        <v>0</v>
      </c>
      <c r="AB185" s="155"/>
      <c r="AC185" s="156">
        <f>ROUND(VLOOKUP($G185,factors,+AC$376)*$I185,0)</f>
        <v>0</v>
      </c>
      <c r="AD185" s="155"/>
      <c r="AE185" s="156">
        <f>ROUND(VLOOKUP($G185,factors,+AE$376)*$I185,0)</f>
        <v>0</v>
      </c>
      <c r="AF185" s="155"/>
      <c r="AG185" s="156">
        <f>ROUND(VLOOKUP($G185,factors,+AG$376)*$I185,0)</f>
        <v>0</v>
      </c>
      <c r="AI185" s="157">
        <f t="shared" ref="AI185" si="134">SUM(K185:AG185)-I185</f>
        <v>1</v>
      </c>
    </row>
    <row r="186" spans="1:35">
      <c r="C186" s="159">
        <v>375</v>
      </c>
      <c r="E186" s="222" t="s">
        <v>289</v>
      </c>
      <c r="F186" s="222"/>
      <c r="G186" s="392">
        <v>18</v>
      </c>
      <c r="H186" s="222"/>
      <c r="I186" s="285">
        <f>+'Linkin (2)'!W43</f>
        <v>91115</v>
      </c>
      <c r="K186" s="156">
        <f>ROUND(VLOOKUP($G186,factors,+K$376)*$I186,0)</f>
        <v>44847</v>
      </c>
      <c r="M186" s="156">
        <f>ROUND(VLOOKUP($G186,factors,+M$376)*$I186,0)</f>
        <v>24738</v>
      </c>
      <c r="N186" s="156"/>
      <c r="O186" s="156">
        <f>ROUND(VLOOKUP($G186,factors,+O$376)*$I186,0)</f>
        <v>6706</v>
      </c>
      <c r="P186" s="156"/>
      <c r="Q186" s="156">
        <f>ROUND(VLOOKUP($G186,factors,+Q$376)*$I186,0)</f>
        <v>6597</v>
      </c>
      <c r="R186" s="156"/>
      <c r="S186" s="155">
        <f>ROUND(VLOOKUP($G186,factors,+S$376)*$I186,0)</f>
        <v>5458</v>
      </c>
      <c r="T186" s="155"/>
      <c r="U186" s="155">
        <f>ROUND(VLOOKUP($G186,factors,+U$376)*$I186,0)</f>
        <v>2770</v>
      </c>
      <c r="V186" s="155"/>
      <c r="W186" s="155">
        <f>ROUND(VLOOKUP($G186,factors,+W$376)*$I186,0)</f>
        <v>0</v>
      </c>
      <c r="X186" s="155"/>
      <c r="Y186" s="155">
        <f>ROUND(VLOOKUP($G186,factors,+Y$376)*$I186,0)</f>
        <v>0</v>
      </c>
      <c r="Z186" s="155"/>
      <c r="AA186" s="155">
        <f>ROUND(VLOOKUP($G186,factors,+AA$376)*$I186,0)</f>
        <v>0</v>
      </c>
      <c r="AB186" s="155"/>
      <c r="AC186" s="156">
        <f>ROUND(VLOOKUP($G186,factors,+AC$376)*$I186,0)</f>
        <v>0</v>
      </c>
      <c r="AD186" s="155"/>
      <c r="AE186" s="156">
        <f>ROUND(VLOOKUP($G186,factors,+AE$376)*$I186,0)</f>
        <v>0</v>
      </c>
      <c r="AF186" s="155"/>
      <c r="AG186" s="156">
        <f>ROUND(VLOOKUP($G186,factors,+AG$376)*$I186,0)</f>
        <v>0</v>
      </c>
      <c r="AI186" s="157">
        <f t="shared" si="97"/>
        <v>1</v>
      </c>
    </row>
    <row r="187" spans="1:35">
      <c r="A187" s="165">
        <f>+'Linkin (2)'!$AA$47*Alloc!A302</f>
        <v>10528744.976928389</v>
      </c>
      <c r="B187" s="155">
        <f>SUM(I187:I189)</f>
        <v>31854468</v>
      </c>
      <c r="C187" s="159">
        <v>376</v>
      </c>
      <c r="E187" s="222" t="s">
        <v>393</v>
      </c>
      <c r="F187" s="222"/>
      <c r="G187" s="392">
        <v>5</v>
      </c>
      <c r="H187" s="222"/>
      <c r="I187" s="285">
        <f>ROUND(A187,0)</f>
        <v>10528745</v>
      </c>
      <c r="J187" s="87"/>
      <c r="K187" s="156">
        <f>ROUND(VLOOKUP($G187,factors,+K$376)*$I187,0)</f>
        <v>5514957</v>
      </c>
      <c r="M187" s="156">
        <f>ROUND(VLOOKUP($G187,factors,+M$376)*$I187,0)</f>
        <v>3041754</v>
      </c>
      <c r="N187" s="156"/>
      <c r="O187" s="156">
        <f>ROUND(VLOOKUP($G187,factors,+O$376)*$I187,0)</f>
        <v>824401</v>
      </c>
      <c r="P187" s="156"/>
      <c r="Q187" s="156">
        <f>ROUND(VLOOKUP($G187,factors,+Q$376)*$I187,0)</f>
        <v>810713</v>
      </c>
      <c r="R187" s="156"/>
      <c r="S187" s="155">
        <f>ROUND(VLOOKUP($G187,factors,+S$376)*$I187,0)</f>
        <v>0</v>
      </c>
      <c r="T187" s="155"/>
      <c r="U187" s="155">
        <f>ROUND(VLOOKUP($G187,factors,+U$376)*$I187,0)</f>
        <v>336920</v>
      </c>
      <c r="V187" s="155"/>
      <c r="W187" s="155">
        <f>ROUND(VLOOKUP($G187,factors,+W$376)*$I187,0)</f>
        <v>0</v>
      </c>
      <c r="X187" s="155"/>
      <c r="Y187" s="155">
        <f>ROUND(VLOOKUP($G187,factors,+Y$376)*$I187,0)</f>
        <v>0</v>
      </c>
      <c r="Z187" s="155"/>
      <c r="AA187" s="155">
        <f>ROUND(VLOOKUP($G187,factors,+AA$376)*$I187,0)</f>
        <v>0</v>
      </c>
      <c r="AB187" s="155"/>
      <c r="AC187" s="156">
        <f>ROUND(VLOOKUP($G187,factors,+AC$376)*$I187,0)</f>
        <v>0</v>
      </c>
      <c r="AD187" s="155"/>
      <c r="AE187" s="156">
        <f>ROUND(VLOOKUP($G187,factors,+AE$376)*$I187,0)</f>
        <v>0</v>
      </c>
      <c r="AF187" s="155"/>
      <c r="AG187" s="156">
        <f>ROUND(VLOOKUP($G187,factors,+AG$376)*$I187,0)</f>
        <v>0</v>
      </c>
      <c r="AI187" s="157">
        <f t="shared" si="97"/>
        <v>0</v>
      </c>
    </row>
    <row r="188" spans="1:35">
      <c r="A188" s="165">
        <f>+'Linkin (2)'!$AA$47*Alloc!A303</f>
        <v>19407976.595230803</v>
      </c>
      <c r="B188" s="165"/>
      <c r="C188" s="159"/>
      <c r="E188" s="222" t="s">
        <v>394</v>
      </c>
      <c r="F188" s="222"/>
      <c r="G188" s="392">
        <v>4</v>
      </c>
      <c r="H188" s="222"/>
      <c r="I188" s="285">
        <f t="shared" ref="I188:I189" si="135">ROUND(A188,0)</f>
        <v>19407977</v>
      </c>
      <c r="J188" s="87"/>
      <c r="K188" s="156">
        <f>ROUND(VLOOKUP($G188,factors,+K$376)*$I188,0)</f>
        <v>10165898</v>
      </c>
      <c r="M188" s="156">
        <f>ROUND(VLOOKUP($G188,factors,+M$376)*$I188,0)</f>
        <v>5606965</v>
      </c>
      <c r="N188" s="156"/>
      <c r="O188" s="156">
        <f>ROUND(VLOOKUP($G188,factors,+O$376)*$I188,0)</f>
        <v>1519645</v>
      </c>
      <c r="P188" s="156"/>
      <c r="Q188" s="156">
        <f>ROUND(VLOOKUP($G188,factors,+Q$376)*$I188,0)</f>
        <v>1494414</v>
      </c>
      <c r="R188" s="156"/>
      <c r="S188" s="155">
        <f>ROUND(VLOOKUP($G188,factors,+S$376)*$I188,0)</f>
        <v>0</v>
      </c>
      <c r="T188" s="155"/>
      <c r="U188" s="155">
        <f>ROUND(VLOOKUP($G188,factors,+U$376)*$I188,0)</f>
        <v>621055</v>
      </c>
      <c r="V188" s="155"/>
      <c r="W188" s="155"/>
      <c r="X188" s="155"/>
      <c r="Y188" s="155"/>
      <c r="Z188" s="155"/>
      <c r="AA188" s="155"/>
      <c r="AB188" s="155"/>
      <c r="AC188" s="156"/>
      <c r="AD188" s="155"/>
      <c r="AE188" s="156"/>
      <c r="AF188" s="155"/>
      <c r="AG188" s="156"/>
      <c r="AI188" s="157">
        <f t="shared" si="97"/>
        <v>0</v>
      </c>
    </row>
    <row r="189" spans="1:35">
      <c r="A189" s="165">
        <f>+'Linkin (2)'!$AA$47*Alloc!A304</f>
        <v>1917746.4278408079</v>
      </c>
      <c r="B189" s="521"/>
      <c r="C189" s="159"/>
      <c r="E189" s="260" t="s">
        <v>466</v>
      </c>
      <c r="F189" s="222"/>
      <c r="G189" s="392" t="s">
        <v>386</v>
      </c>
      <c r="H189" s="222"/>
      <c r="I189" s="285">
        <f t="shared" si="135"/>
        <v>1917746</v>
      </c>
      <c r="J189" s="87"/>
      <c r="K189" s="156"/>
      <c r="M189" s="156"/>
      <c r="N189" s="156"/>
      <c r="O189" s="156"/>
      <c r="P189" s="156"/>
      <c r="Q189" s="156"/>
      <c r="R189" s="156"/>
      <c r="S189" s="155">
        <f>+I189-U189</f>
        <v>1908448</v>
      </c>
      <c r="T189" s="155"/>
      <c r="U189" s="155">
        <f>ROUND(552094*'Linkin (2)'!AA47,0)</f>
        <v>9298</v>
      </c>
      <c r="V189" s="155"/>
      <c r="W189" s="155"/>
      <c r="X189" s="155"/>
      <c r="Y189" s="155"/>
      <c r="Z189" s="155"/>
      <c r="AA189" s="155"/>
      <c r="AB189" s="155"/>
      <c r="AC189" s="156"/>
      <c r="AD189" s="155"/>
      <c r="AE189" s="156"/>
      <c r="AF189" s="155"/>
      <c r="AG189" s="156"/>
      <c r="AI189" s="157">
        <f t="shared" si="97"/>
        <v>0</v>
      </c>
    </row>
    <row r="190" spans="1:35">
      <c r="A190" s="165"/>
      <c r="B190" s="522"/>
      <c r="C190" s="159">
        <v>378</v>
      </c>
      <c r="E190" s="222" t="s">
        <v>159</v>
      </c>
      <c r="F190" s="222"/>
      <c r="G190" s="392">
        <v>18</v>
      </c>
      <c r="H190" s="222"/>
      <c r="I190" s="285">
        <f>+'Linkin (2)'!W48</f>
        <v>4294165</v>
      </c>
      <c r="K190" s="156">
        <f t="shared" ref="K190:K200" si="136">ROUND(VLOOKUP($G190,factors,+K$376)*$I190,0)</f>
        <v>2113588</v>
      </c>
      <c r="M190" s="156">
        <f t="shared" ref="M190:M200" si="137">ROUND(VLOOKUP($G190,factors,+M$376)*$I190,0)</f>
        <v>1165866</v>
      </c>
      <c r="N190" s="156"/>
      <c r="O190" s="156">
        <f t="shared" ref="O190:O200" si="138">ROUND(VLOOKUP($G190,factors,+O$376)*$I190,0)</f>
        <v>316051</v>
      </c>
      <c r="P190" s="156"/>
      <c r="Q190" s="156">
        <f t="shared" ref="Q190:Q200" si="139">ROUND(VLOOKUP($G190,factors,+Q$376)*$I190,0)</f>
        <v>310898</v>
      </c>
      <c r="R190" s="156"/>
      <c r="S190" s="155">
        <f t="shared" ref="S190:S200" si="140">ROUND(VLOOKUP($G190,factors,+S$376)*$I190,0)</f>
        <v>257220</v>
      </c>
      <c r="T190" s="155"/>
      <c r="U190" s="155">
        <f t="shared" ref="U190:U200" si="141">ROUND(VLOOKUP($G190,factors,+U$376)*$I190,0)</f>
        <v>130543</v>
      </c>
      <c r="V190" s="155"/>
      <c r="W190" s="155">
        <f t="shared" ref="W190:W200" si="142">ROUND(VLOOKUP($G190,factors,+W$376)*$I190,0)</f>
        <v>0</v>
      </c>
      <c r="X190" s="155"/>
      <c r="Y190" s="155">
        <f t="shared" ref="Y190:Y200" si="143">ROUND(VLOOKUP($G190,factors,+Y$376)*$I190,0)</f>
        <v>0</v>
      </c>
      <c r="Z190" s="155"/>
      <c r="AA190" s="155">
        <f t="shared" ref="AA190:AA200" si="144">ROUND(VLOOKUP($G190,factors,+AA$376)*$I190,0)</f>
        <v>0</v>
      </c>
      <c r="AB190" s="155"/>
      <c r="AC190" s="156">
        <f t="shared" ref="AC190:AC200" si="145">ROUND(VLOOKUP($G190,factors,+AC$376)*$I190,0)</f>
        <v>0</v>
      </c>
      <c r="AD190" s="155"/>
      <c r="AE190" s="156">
        <f t="shared" ref="AE190:AE200" si="146">ROUND(VLOOKUP($G190,factors,+AE$376)*$I190,0)</f>
        <v>0</v>
      </c>
      <c r="AF190" s="155"/>
      <c r="AG190" s="156">
        <f t="shared" ref="AG190:AG200" si="147">ROUND(VLOOKUP($G190,factors,+AG$376)*$I190,0)</f>
        <v>0</v>
      </c>
      <c r="AI190" s="157">
        <f t="shared" si="82"/>
        <v>1</v>
      </c>
    </row>
    <row r="191" spans="1:35">
      <c r="A191" s="156">
        <f>SUM(A187:A190)</f>
        <v>31854468</v>
      </c>
      <c r="C191" s="159">
        <v>379</v>
      </c>
      <c r="E191" s="222" t="s">
        <v>160</v>
      </c>
      <c r="F191" s="222"/>
      <c r="G191" s="392">
        <v>18</v>
      </c>
      <c r="H191" s="222"/>
      <c r="I191" s="285">
        <f>+'Linkin (2)'!W49</f>
        <v>475943</v>
      </c>
      <c r="K191" s="156">
        <f t="shared" si="136"/>
        <v>234259</v>
      </c>
      <c r="M191" s="156">
        <f t="shared" si="137"/>
        <v>129219</v>
      </c>
      <c r="N191" s="156"/>
      <c r="O191" s="156">
        <f t="shared" si="138"/>
        <v>35029</v>
      </c>
      <c r="P191" s="156"/>
      <c r="Q191" s="156">
        <f t="shared" si="139"/>
        <v>34458</v>
      </c>
      <c r="R191" s="156"/>
      <c r="S191" s="155">
        <f t="shared" si="140"/>
        <v>28509</v>
      </c>
      <c r="T191" s="155"/>
      <c r="U191" s="155">
        <f t="shared" si="141"/>
        <v>14469</v>
      </c>
      <c r="V191" s="155"/>
      <c r="W191" s="155">
        <f t="shared" si="142"/>
        <v>0</v>
      </c>
      <c r="X191" s="155"/>
      <c r="Y191" s="155">
        <f t="shared" si="143"/>
        <v>0</v>
      </c>
      <c r="Z191" s="155"/>
      <c r="AA191" s="155">
        <f t="shared" si="144"/>
        <v>0</v>
      </c>
      <c r="AB191" s="155"/>
      <c r="AC191" s="156">
        <f t="shared" si="145"/>
        <v>0</v>
      </c>
      <c r="AD191" s="155"/>
      <c r="AE191" s="156">
        <f t="shared" si="146"/>
        <v>0</v>
      </c>
      <c r="AF191" s="155"/>
      <c r="AG191" s="156">
        <f t="shared" si="147"/>
        <v>0</v>
      </c>
      <c r="AI191" s="157">
        <f t="shared" si="82"/>
        <v>0</v>
      </c>
    </row>
    <row r="192" spans="1:35">
      <c r="C192" s="159">
        <v>380</v>
      </c>
      <c r="E192" s="222" t="s">
        <v>290</v>
      </c>
      <c r="F192" s="222"/>
      <c r="G192" s="261" t="s">
        <v>398</v>
      </c>
      <c r="H192" s="222"/>
      <c r="I192" s="285">
        <f>+'Linkin (2)'!W50</f>
        <v>32658057</v>
      </c>
      <c r="K192" s="156">
        <f t="shared" si="136"/>
        <v>0</v>
      </c>
      <c r="M192" s="156">
        <f t="shared" si="137"/>
        <v>0</v>
      </c>
      <c r="N192" s="156"/>
      <c r="O192" s="156">
        <f t="shared" si="138"/>
        <v>0</v>
      </c>
      <c r="P192" s="156"/>
      <c r="Q192" s="156">
        <f t="shared" si="139"/>
        <v>0</v>
      </c>
      <c r="R192" s="156"/>
      <c r="S192" s="155">
        <f t="shared" si="140"/>
        <v>0</v>
      </c>
      <c r="T192" s="155"/>
      <c r="U192" s="155">
        <f t="shared" si="141"/>
        <v>0</v>
      </c>
      <c r="V192" s="155"/>
      <c r="W192" s="155">
        <f t="shared" si="142"/>
        <v>28464762</v>
      </c>
      <c r="X192" s="155"/>
      <c r="Y192" s="155">
        <f t="shared" si="143"/>
        <v>3801398</v>
      </c>
      <c r="Z192" s="155"/>
      <c r="AA192" s="155">
        <f t="shared" si="144"/>
        <v>160024</v>
      </c>
      <c r="AB192" s="155"/>
      <c r="AC192" s="156">
        <f t="shared" si="145"/>
        <v>169822</v>
      </c>
      <c r="AD192" s="155"/>
      <c r="AE192" s="156">
        <f t="shared" si="146"/>
        <v>13063</v>
      </c>
      <c r="AF192" s="155"/>
      <c r="AG192" s="156">
        <f t="shared" si="147"/>
        <v>48987</v>
      </c>
      <c r="AI192" s="157">
        <f t="shared" si="82"/>
        <v>-1</v>
      </c>
    </row>
    <row r="193" spans="1:35">
      <c r="C193" s="159">
        <v>381</v>
      </c>
      <c r="E193" s="222" t="s">
        <v>291</v>
      </c>
      <c r="F193" s="222"/>
      <c r="G193" s="261">
        <v>6</v>
      </c>
      <c r="H193" s="222"/>
      <c r="I193" s="285">
        <f>+'Linkin (2)'!W51+'Linkin (2)'!W52</f>
        <v>4650416</v>
      </c>
      <c r="K193" s="156">
        <f t="shared" si="136"/>
        <v>0</v>
      </c>
      <c r="M193" s="156">
        <f t="shared" si="137"/>
        <v>0</v>
      </c>
      <c r="N193" s="156"/>
      <c r="O193" s="156">
        <f t="shared" si="138"/>
        <v>0</v>
      </c>
      <c r="P193" s="156"/>
      <c r="Q193" s="156">
        <f t="shared" si="139"/>
        <v>0</v>
      </c>
      <c r="R193" s="156"/>
      <c r="S193" s="155">
        <f t="shared" si="140"/>
        <v>0</v>
      </c>
      <c r="T193" s="155"/>
      <c r="U193" s="155">
        <f t="shared" si="141"/>
        <v>0</v>
      </c>
      <c r="V193" s="155"/>
      <c r="W193" s="155">
        <f t="shared" si="142"/>
        <v>2039207</v>
      </c>
      <c r="X193" s="155"/>
      <c r="Y193" s="155">
        <f t="shared" si="143"/>
        <v>1959685</v>
      </c>
      <c r="Z193" s="155"/>
      <c r="AA193" s="155">
        <f t="shared" si="144"/>
        <v>307858</v>
      </c>
      <c r="AB193" s="155"/>
      <c r="AC193" s="156">
        <f t="shared" si="145"/>
        <v>188342</v>
      </c>
      <c r="AD193" s="155"/>
      <c r="AE193" s="156">
        <f t="shared" si="146"/>
        <v>39063</v>
      </c>
      <c r="AF193" s="155"/>
      <c r="AG193" s="156">
        <f t="shared" si="147"/>
        <v>116260</v>
      </c>
      <c r="AI193" s="157">
        <f t="shared" si="82"/>
        <v>-1</v>
      </c>
    </row>
    <row r="194" spans="1:35">
      <c r="C194" s="159">
        <v>382</v>
      </c>
      <c r="E194" s="222" t="s">
        <v>292</v>
      </c>
      <c r="F194" s="222"/>
      <c r="G194" s="261">
        <v>6</v>
      </c>
      <c r="H194" s="222"/>
      <c r="I194" s="285">
        <f>+'Linkin (2)'!W53</f>
        <v>2461573</v>
      </c>
      <c r="K194" s="156">
        <f t="shared" si="136"/>
        <v>0</v>
      </c>
      <c r="M194" s="156">
        <f t="shared" si="137"/>
        <v>0</v>
      </c>
      <c r="N194" s="156"/>
      <c r="O194" s="156">
        <f t="shared" si="138"/>
        <v>0</v>
      </c>
      <c r="P194" s="156"/>
      <c r="Q194" s="156">
        <f t="shared" si="139"/>
        <v>0</v>
      </c>
      <c r="R194" s="156"/>
      <c r="S194" s="155">
        <f t="shared" si="140"/>
        <v>0</v>
      </c>
      <c r="T194" s="155"/>
      <c r="U194" s="155">
        <f t="shared" si="141"/>
        <v>0</v>
      </c>
      <c r="V194" s="155"/>
      <c r="W194" s="155">
        <f t="shared" si="142"/>
        <v>1079400</v>
      </c>
      <c r="X194" s="155"/>
      <c r="Y194" s="155">
        <f t="shared" si="143"/>
        <v>1037307</v>
      </c>
      <c r="Z194" s="155"/>
      <c r="AA194" s="155">
        <f t="shared" si="144"/>
        <v>162956</v>
      </c>
      <c r="AB194" s="155"/>
      <c r="AC194" s="156">
        <f t="shared" si="145"/>
        <v>99694</v>
      </c>
      <c r="AD194" s="155"/>
      <c r="AE194" s="156">
        <f t="shared" si="146"/>
        <v>20677</v>
      </c>
      <c r="AF194" s="155"/>
      <c r="AG194" s="156">
        <f t="shared" si="147"/>
        <v>61539</v>
      </c>
      <c r="AI194" s="157">
        <f t="shared" si="82"/>
        <v>0</v>
      </c>
    </row>
    <row r="195" spans="1:35">
      <c r="C195" s="159">
        <v>383</v>
      </c>
      <c r="E195" s="222" t="s">
        <v>162</v>
      </c>
      <c r="F195" s="222"/>
      <c r="G195" s="392" t="s">
        <v>302</v>
      </c>
      <c r="H195" s="222"/>
      <c r="I195" s="285">
        <f>+'Linkin (2)'!W54</f>
        <v>1394604</v>
      </c>
      <c r="K195" s="156">
        <f t="shared" si="136"/>
        <v>0</v>
      </c>
      <c r="M195" s="156">
        <f t="shared" si="137"/>
        <v>0</v>
      </c>
      <c r="N195" s="156"/>
      <c r="O195" s="156">
        <f t="shared" si="138"/>
        <v>0</v>
      </c>
      <c r="P195" s="156"/>
      <c r="Q195" s="156">
        <f t="shared" si="139"/>
        <v>0</v>
      </c>
      <c r="R195" s="156"/>
      <c r="S195" s="155">
        <f t="shared" si="140"/>
        <v>0</v>
      </c>
      <c r="T195" s="155"/>
      <c r="U195" s="155">
        <f t="shared" si="141"/>
        <v>0</v>
      </c>
      <c r="V195" s="155"/>
      <c r="W195" s="155">
        <f t="shared" si="142"/>
        <v>1230459</v>
      </c>
      <c r="X195" s="155"/>
      <c r="Y195" s="155">
        <f t="shared" si="143"/>
        <v>164145</v>
      </c>
      <c r="Z195" s="155"/>
      <c r="AA195" s="155">
        <f t="shared" si="144"/>
        <v>0</v>
      </c>
      <c r="AB195" s="155"/>
      <c r="AC195" s="156">
        <f t="shared" si="145"/>
        <v>0</v>
      </c>
      <c r="AD195" s="155"/>
      <c r="AE195" s="156">
        <f t="shared" si="146"/>
        <v>0</v>
      </c>
      <c r="AF195" s="155"/>
      <c r="AG195" s="156">
        <f t="shared" si="147"/>
        <v>0</v>
      </c>
      <c r="AI195" s="157">
        <f t="shared" si="82"/>
        <v>0</v>
      </c>
    </row>
    <row r="196" spans="1:35">
      <c r="C196" s="159">
        <v>384</v>
      </c>
      <c r="E196" s="222" t="s">
        <v>163</v>
      </c>
      <c r="F196" s="222"/>
      <c r="G196" s="392" t="s">
        <v>302</v>
      </c>
      <c r="H196" s="222"/>
      <c r="I196" s="285">
        <f>+'Linkin (2)'!W55</f>
        <v>356592</v>
      </c>
      <c r="K196" s="156">
        <f t="shared" si="136"/>
        <v>0</v>
      </c>
      <c r="M196" s="156">
        <f t="shared" si="137"/>
        <v>0</v>
      </c>
      <c r="N196" s="156"/>
      <c r="O196" s="156">
        <f t="shared" si="138"/>
        <v>0</v>
      </c>
      <c r="P196" s="156"/>
      <c r="Q196" s="156">
        <f t="shared" si="139"/>
        <v>0</v>
      </c>
      <c r="R196" s="156"/>
      <c r="S196" s="155">
        <f t="shared" si="140"/>
        <v>0</v>
      </c>
      <c r="T196" s="155"/>
      <c r="U196" s="155">
        <f t="shared" si="141"/>
        <v>0</v>
      </c>
      <c r="V196" s="155"/>
      <c r="W196" s="155">
        <f t="shared" si="142"/>
        <v>314621</v>
      </c>
      <c r="X196" s="155"/>
      <c r="Y196" s="155">
        <f t="shared" si="143"/>
        <v>41971</v>
      </c>
      <c r="Z196" s="155"/>
      <c r="AA196" s="155">
        <f t="shared" si="144"/>
        <v>0</v>
      </c>
      <c r="AB196" s="155"/>
      <c r="AC196" s="156">
        <f t="shared" si="145"/>
        <v>0</v>
      </c>
      <c r="AD196" s="155"/>
      <c r="AE196" s="156">
        <f t="shared" si="146"/>
        <v>0</v>
      </c>
      <c r="AF196" s="155"/>
      <c r="AG196" s="156">
        <f t="shared" si="147"/>
        <v>0</v>
      </c>
      <c r="AI196" s="157">
        <f t="shared" si="82"/>
        <v>0</v>
      </c>
    </row>
    <row r="197" spans="1:35">
      <c r="C197" s="159">
        <v>385</v>
      </c>
      <c r="E197" s="222" t="s">
        <v>164</v>
      </c>
      <c r="F197" s="222"/>
      <c r="G197" s="261">
        <v>6</v>
      </c>
      <c r="H197" s="222"/>
      <c r="I197" s="285">
        <f>+'Linkin (2)'!W56</f>
        <v>667477</v>
      </c>
      <c r="K197" s="156">
        <f t="shared" si="136"/>
        <v>0</v>
      </c>
      <c r="M197" s="156">
        <f t="shared" si="137"/>
        <v>0</v>
      </c>
      <c r="N197" s="156"/>
      <c r="O197" s="156">
        <f t="shared" si="138"/>
        <v>0</v>
      </c>
      <c r="P197" s="156"/>
      <c r="Q197" s="156">
        <f t="shared" si="139"/>
        <v>0</v>
      </c>
      <c r="R197" s="156"/>
      <c r="S197" s="155">
        <f t="shared" si="140"/>
        <v>0</v>
      </c>
      <c r="T197" s="155"/>
      <c r="U197" s="155">
        <f t="shared" si="141"/>
        <v>0</v>
      </c>
      <c r="V197" s="155"/>
      <c r="W197" s="155">
        <f t="shared" si="142"/>
        <v>292689</v>
      </c>
      <c r="X197" s="155"/>
      <c r="Y197" s="155">
        <f t="shared" si="143"/>
        <v>281275</v>
      </c>
      <c r="Z197" s="155"/>
      <c r="AA197" s="155">
        <f t="shared" si="144"/>
        <v>44187</v>
      </c>
      <c r="AB197" s="155"/>
      <c r="AC197" s="156">
        <f t="shared" si="145"/>
        <v>27033</v>
      </c>
      <c r="AD197" s="155"/>
      <c r="AE197" s="156">
        <f t="shared" si="146"/>
        <v>5607</v>
      </c>
      <c r="AF197" s="155"/>
      <c r="AG197" s="156">
        <f t="shared" si="147"/>
        <v>16687</v>
      </c>
      <c r="AI197" s="157">
        <f t="shared" si="82"/>
        <v>1</v>
      </c>
    </row>
    <row r="198" spans="1:35">
      <c r="C198" s="261">
        <v>386</v>
      </c>
      <c r="D198" s="222"/>
      <c r="E198" s="394" t="s">
        <v>39</v>
      </c>
      <c r="F198" s="222"/>
      <c r="G198" s="392" t="s">
        <v>398</v>
      </c>
      <c r="H198" s="222"/>
      <c r="I198" s="285">
        <f>+SUM('Linkin (2)'!W57:W60)</f>
        <v>23101</v>
      </c>
      <c r="J198" s="222"/>
      <c r="K198" s="156">
        <f t="shared" si="136"/>
        <v>0</v>
      </c>
      <c r="M198" s="156">
        <f t="shared" si="137"/>
        <v>0</v>
      </c>
      <c r="N198" s="156"/>
      <c r="O198" s="156">
        <f t="shared" si="138"/>
        <v>0</v>
      </c>
      <c r="P198" s="156"/>
      <c r="Q198" s="156">
        <f t="shared" si="139"/>
        <v>0</v>
      </c>
      <c r="R198" s="156"/>
      <c r="S198" s="155">
        <f t="shared" si="140"/>
        <v>0</v>
      </c>
      <c r="T198" s="155"/>
      <c r="U198" s="155">
        <f t="shared" si="141"/>
        <v>0</v>
      </c>
      <c r="V198" s="155"/>
      <c r="W198" s="155">
        <f t="shared" si="142"/>
        <v>20135</v>
      </c>
      <c r="X198" s="155"/>
      <c r="Y198" s="155">
        <f t="shared" si="143"/>
        <v>2689</v>
      </c>
      <c r="Z198" s="155"/>
      <c r="AA198" s="155">
        <f t="shared" si="144"/>
        <v>113</v>
      </c>
      <c r="AB198" s="155"/>
      <c r="AC198" s="156">
        <f t="shared" si="145"/>
        <v>120</v>
      </c>
      <c r="AD198" s="155"/>
      <c r="AE198" s="156">
        <f t="shared" si="146"/>
        <v>9</v>
      </c>
      <c r="AF198" s="155"/>
      <c r="AG198" s="156">
        <f t="shared" si="147"/>
        <v>35</v>
      </c>
      <c r="AI198" s="157">
        <f t="shared" si="82"/>
        <v>0</v>
      </c>
    </row>
    <row r="199" spans="1:35">
      <c r="C199" s="261">
        <v>387</v>
      </c>
      <c r="D199" s="222"/>
      <c r="E199" s="222" t="s">
        <v>293</v>
      </c>
      <c r="F199" s="222"/>
      <c r="G199" s="261">
        <v>10</v>
      </c>
      <c r="H199" s="222"/>
      <c r="I199" s="285">
        <f>+'Linkin (2)'!W61</f>
        <v>81978</v>
      </c>
      <c r="J199" s="222"/>
      <c r="K199" s="156">
        <f t="shared" si="136"/>
        <v>17551</v>
      </c>
      <c r="M199" s="156">
        <f t="shared" si="137"/>
        <v>9682</v>
      </c>
      <c r="N199" s="156"/>
      <c r="O199" s="156">
        <f t="shared" si="138"/>
        <v>2631</v>
      </c>
      <c r="P199" s="156"/>
      <c r="Q199" s="156">
        <f t="shared" si="139"/>
        <v>2607</v>
      </c>
      <c r="R199" s="156"/>
      <c r="S199" s="155">
        <f t="shared" si="140"/>
        <v>5583</v>
      </c>
      <c r="T199" s="155"/>
      <c r="U199" s="155">
        <f t="shared" si="141"/>
        <v>1820</v>
      </c>
      <c r="V199" s="155"/>
      <c r="W199" s="155">
        <f t="shared" si="142"/>
        <v>28602</v>
      </c>
      <c r="X199" s="155"/>
      <c r="Y199" s="155">
        <f t="shared" si="143"/>
        <v>9591</v>
      </c>
      <c r="Z199" s="155"/>
      <c r="AA199" s="155">
        <f t="shared" si="144"/>
        <v>1828</v>
      </c>
      <c r="AB199" s="155"/>
      <c r="AC199" s="156">
        <f t="shared" si="145"/>
        <v>1172</v>
      </c>
      <c r="AD199" s="155"/>
      <c r="AE199" s="156">
        <f t="shared" si="146"/>
        <v>230</v>
      </c>
      <c r="AF199" s="155"/>
      <c r="AG199" s="156">
        <f t="shared" si="147"/>
        <v>680</v>
      </c>
      <c r="AI199" s="157">
        <f t="shared" si="82"/>
        <v>-1</v>
      </c>
    </row>
    <row r="200" spans="1:35">
      <c r="C200" s="159">
        <v>387.1</v>
      </c>
      <c r="E200" s="222" t="s">
        <v>293</v>
      </c>
      <c r="F200" s="222"/>
      <c r="G200" s="261">
        <v>10</v>
      </c>
      <c r="H200" s="222"/>
      <c r="I200" s="285">
        <f>+'Linkin (2)'!W62</f>
        <v>4448</v>
      </c>
      <c r="J200" s="150"/>
      <c r="K200" s="161">
        <f t="shared" si="136"/>
        <v>952</v>
      </c>
      <c r="L200" s="150"/>
      <c r="M200" s="161">
        <f t="shared" si="137"/>
        <v>525</v>
      </c>
      <c r="O200" s="161">
        <f t="shared" si="138"/>
        <v>143</v>
      </c>
      <c r="P200" s="162"/>
      <c r="Q200" s="161">
        <f t="shared" si="139"/>
        <v>141</v>
      </c>
      <c r="S200" s="160">
        <f t="shared" si="140"/>
        <v>303</v>
      </c>
      <c r="T200" s="163"/>
      <c r="U200" s="160">
        <f t="shared" si="141"/>
        <v>99</v>
      </c>
      <c r="V200" s="150"/>
      <c r="W200" s="161">
        <f t="shared" si="142"/>
        <v>1552</v>
      </c>
      <c r="Y200" s="161">
        <f t="shared" si="143"/>
        <v>520</v>
      </c>
      <c r="Z200" s="155"/>
      <c r="AA200" s="161">
        <f t="shared" si="144"/>
        <v>99</v>
      </c>
      <c r="AB200" s="162"/>
      <c r="AC200" s="161">
        <f t="shared" si="145"/>
        <v>64</v>
      </c>
      <c r="AD200" s="150"/>
      <c r="AE200" s="161">
        <f t="shared" si="146"/>
        <v>12</v>
      </c>
      <c r="AF200" s="150"/>
      <c r="AG200" s="161">
        <f t="shared" si="147"/>
        <v>37</v>
      </c>
      <c r="AI200" s="157">
        <f t="shared" si="82"/>
        <v>-1</v>
      </c>
    </row>
    <row r="201" spans="1:35" ht="15.75">
      <c r="B201" s="154">
        <f>'Linkin (2)'!W63</f>
        <v>79055999</v>
      </c>
      <c r="E201" s="476" t="s">
        <v>240</v>
      </c>
      <c r="F201" s="476"/>
      <c r="G201" s="477"/>
      <c r="H201" s="476"/>
      <c r="I201" s="797">
        <f>SUM(I184:I200)</f>
        <v>79055999</v>
      </c>
      <c r="J201" s="39"/>
      <c r="K201" s="39">
        <f>SUM(K184:K200)</f>
        <v>18112755</v>
      </c>
      <c r="L201" s="39"/>
      <c r="M201" s="39">
        <f>SUM(M184:M200)</f>
        <v>9990169</v>
      </c>
      <c r="N201" s="39"/>
      <c r="O201" s="39">
        <f>SUM(O184:O200)</f>
        <v>2707702</v>
      </c>
      <c r="P201" s="39"/>
      <c r="Q201" s="39">
        <f>SUM(Q184:Q200)</f>
        <v>2662873</v>
      </c>
      <c r="R201" s="39"/>
      <c r="S201" s="39">
        <f>SUM(S184:S200)</f>
        <v>2208041</v>
      </c>
      <c r="T201" s="39"/>
      <c r="U201" s="39">
        <f>SUM(U184:U200)</f>
        <v>1118253</v>
      </c>
      <c r="V201" s="39"/>
      <c r="W201" s="39">
        <f>SUM(W184:W200)</f>
        <v>33471427</v>
      </c>
      <c r="X201" s="39"/>
      <c r="Y201" s="39">
        <f>SUM(Y184:Y200)</f>
        <v>7298581</v>
      </c>
      <c r="Z201" s="39"/>
      <c r="AA201" s="39">
        <f>SUM(AA184:AA200)</f>
        <v>677065</v>
      </c>
      <c r="AB201" s="39"/>
      <c r="AC201" s="39">
        <f>SUM(AC184:AC200)</f>
        <v>486247</v>
      </c>
      <c r="AD201" s="39"/>
      <c r="AE201" s="39">
        <f>SUM(AE184:AE200)</f>
        <v>78661</v>
      </c>
      <c r="AF201" s="39"/>
      <c r="AG201" s="39">
        <f>SUM(AG184:AG200)</f>
        <v>244225</v>
      </c>
      <c r="AH201" s="27"/>
      <c r="AI201" s="157">
        <f t="shared" si="82"/>
        <v>0</v>
      </c>
    </row>
    <row r="202" spans="1:35">
      <c r="B202" s="155">
        <f>+B201-I201</f>
        <v>0</v>
      </c>
      <c r="E202" s="222"/>
      <c r="F202" s="222"/>
      <c r="G202" s="261"/>
      <c r="H202" s="222"/>
      <c r="I202" s="285"/>
      <c r="S202" s="155"/>
      <c r="T202" s="155"/>
      <c r="U202" s="155"/>
      <c r="Z202" s="155"/>
      <c r="AA202" s="155"/>
      <c r="AB202" s="155"/>
      <c r="AI202" s="157">
        <f t="shared" si="82"/>
        <v>0</v>
      </c>
    </row>
    <row r="203" spans="1:35" ht="15.75">
      <c r="A203" s="317"/>
      <c r="B203" s="317"/>
      <c r="C203" s="27" t="s">
        <v>241</v>
      </c>
      <c r="E203" s="222"/>
      <c r="F203" s="222"/>
      <c r="G203" s="261"/>
      <c r="H203" s="222"/>
      <c r="I203" s="285"/>
      <c r="S203" s="155"/>
      <c r="T203" s="155"/>
      <c r="U203" s="155"/>
      <c r="Z203" s="155"/>
      <c r="AA203" s="155"/>
      <c r="AB203" s="155"/>
      <c r="AI203" s="157">
        <f t="shared" si="82"/>
        <v>0</v>
      </c>
    </row>
    <row r="204" spans="1:35" ht="3.75" customHeight="1">
      <c r="A204" s="318"/>
      <c r="B204" s="318"/>
      <c r="C204" s="149" t="s">
        <v>217</v>
      </c>
      <c r="E204" s="222" t="s">
        <v>218</v>
      </c>
      <c r="F204" s="222"/>
      <c r="G204" s="261"/>
      <c r="H204" s="222"/>
      <c r="I204" s="285"/>
      <c r="S204" s="155"/>
      <c r="T204" s="155"/>
      <c r="U204" s="155"/>
      <c r="Z204" s="155"/>
      <c r="AA204" s="155"/>
      <c r="AB204" s="155"/>
      <c r="AI204" s="157">
        <f t="shared" si="82"/>
        <v>0</v>
      </c>
    </row>
    <row r="205" spans="1:35">
      <c r="A205" s="318"/>
      <c r="B205" s="318"/>
      <c r="C205" s="159">
        <v>390</v>
      </c>
      <c r="E205" s="222" t="s">
        <v>289</v>
      </c>
      <c r="F205" s="222"/>
      <c r="G205" s="261">
        <v>12</v>
      </c>
      <c r="H205" s="222"/>
      <c r="I205" s="285">
        <f>+'Linkin (2)'!W82+'Linkin (2)'!W87</f>
        <v>4743380</v>
      </c>
      <c r="K205" s="162">
        <f t="shared" ref="K205:K211" si="148">ROUND(VLOOKUP($G205,factors,+K$376)*$I205,0)</f>
        <v>1400720</v>
      </c>
      <c r="M205" s="156">
        <f t="shared" ref="M205:M214" si="149">ROUND(VLOOKUP($G205,factors,+M$376)*$I205,0)</f>
        <v>468646</v>
      </c>
      <c r="N205" s="156"/>
      <c r="O205" s="156">
        <f t="shared" ref="O205:O214" si="150">ROUND(VLOOKUP($G205,factors,+O$376)*$I205,0)</f>
        <v>109572</v>
      </c>
      <c r="P205" s="156"/>
      <c r="Q205" s="156">
        <f t="shared" ref="Q205:Q214" si="151">ROUND(VLOOKUP($G205,factors,+Q$376)*$I205,0)</f>
        <v>108623</v>
      </c>
      <c r="R205" s="156"/>
      <c r="S205" s="155">
        <f t="shared" ref="S205:S214" si="152">ROUND(VLOOKUP($G205,factors,+S$376)*$I205,0)</f>
        <v>187364</v>
      </c>
      <c r="T205" s="155"/>
      <c r="U205" s="155">
        <f t="shared" ref="U205:U214" si="153">ROUND(VLOOKUP($G205,factors,+U$376)*$I205,0)</f>
        <v>66407</v>
      </c>
      <c r="V205" s="155"/>
      <c r="W205" s="155">
        <f t="shared" ref="W205:W214" si="154">ROUND(VLOOKUP($G205,factors,+W$376)*$I205,0)</f>
        <v>1912531</v>
      </c>
      <c r="X205" s="155"/>
      <c r="Y205" s="155">
        <f t="shared" ref="Y205:Y214" si="155">ROUND(VLOOKUP($G205,factors,+Y$376)*$I205,0)</f>
        <v>363343</v>
      </c>
      <c r="Z205" s="155"/>
      <c r="AA205" s="155">
        <f t="shared" ref="AA205:AA214" si="156">ROUND(VLOOKUP($G205,factors,+AA$376)*$I205,0)</f>
        <v>57869</v>
      </c>
      <c r="AB205" s="155"/>
      <c r="AC205" s="156">
        <f t="shared" ref="AC205:AC214" si="157">ROUND(VLOOKUP($G205,factors,+AC$376)*$I205,0)</f>
        <v>38896</v>
      </c>
      <c r="AD205" s="155"/>
      <c r="AE205" s="156">
        <f t="shared" ref="AE205:AE214" si="158">ROUND(VLOOKUP($G205,factors,+AE$376)*$I205,0)</f>
        <v>8064</v>
      </c>
      <c r="AF205" s="155"/>
      <c r="AG205" s="156">
        <f t="shared" ref="AG205:AG214" si="159">ROUND(VLOOKUP($G205,factors,+AG$376)*$I205,0)</f>
        <v>21345</v>
      </c>
      <c r="AI205" s="157">
        <f t="shared" si="82"/>
        <v>0</v>
      </c>
    </row>
    <row r="206" spans="1:35">
      <c r="A206" s="319"/>
      <c r="B206" s="319"/>
      <c r="C206" s="159">
        <v>391</v>
      </c>
      <c r="E206" s="222" t="s">
        <v>294</v>
      </c>
      <c r="F206" s="222"/>
      <c r="G206" s="261">
        <v>12</v>
      </c>
      <c r="H206" s="222"/>
      <c r="I206" s="285">
        <f>+SUM('Linkin (2)'!W89:W92)</f>
        <v>331181</v>
      </c>
      <c r="K206" s="162">
        <f t="shared" si="148"/>
        <v>97798</v>
      </c>
      <c r="M206" s="156">
        <f t="shared" si="149"/>
        <v>32721</v>
      </c>
      <c r="N206" s="156"/>
      <c r="O206" s="156">
        <f t="shared" si="150"/>
        <v>7650</v>
      </c>
      <c r="P206" s="156"/>
      <c r="Q206" s="156">
        <f t="shared" si="151"/>
        <v>7584</v>
      </c>
      <c r="R206" s="156"/>
      <c r="S206" s="155">
        <f t="shared" si="152"/>
        <v>13082</v>
      </c>
      <c r="T206" s="155"/>
      <c r="U206" s="155">
        <f t="shared" si="153"/>
        <v>4637</v>
      </c>
      <c r="V206" s="155"/>
      <c r="W206" s="155">
        <f t="shared" si="154"/>
        <v>133532</v>
      </c>
      <c r="X206" s="155"/>
      <c r="Y206" s="155">
        <f t="shared" si="155"/>
        <v>25368</v>
      </c>
      <c r="Z206" s="155"/>
      <c r="AA206" s="155">
        <f t="shared" si="156"/>
        <v>4040</v>
      </c>
      <c r="AB206" s="155"/>
      <c r="AC206" s="156">
        <f t="shared" si="157"/>
        <v>2716</v>
      </c>
      <c r="AD206" s="155"/>
      <c r="AE206" s="156">
        <f t="shared" si="158"/>
        <v>563</v>
      </c>
      <c r="AF206" s="155"/>
      <c r="AG206" s="156">
        <f t="shared" si="159"/>
        <v>1490</v>
      </c>
      <c r="AI206" s="157">
        <f t="shared" si="82"/>
        <v>0</v>
      </c>
    </row>
    <row r="207" spans="1:35">
      <c r="A207" s="319"/>
      <c r="B207" s="318"/>
      <c r="C207" s="159">
        <v>392</v>
      </c>
      <c r="E207" s="222" t="s">
        <v>295</v>
      </c>
      <c r="F207" s="222"/>
      <c r="G207" s="261">
        <v>12</v>
      </c>
      <c r="H207" s="222"/>
      <c r="I207" s="285">
        <f>+SUM('Linkin (2)'!W93:W98)</f>
        <v>4284281</v>
      </c>
      <c r="K207" s="162">
        <f t="shared" si="148"/>
        <v>1265148</v>
      </c>
      <c r="M207" s="156">
        <f t="shared" si="149"/>
        <v>423287</v>
      </c>
      <c r="N207" s="156"/>
      <c r="O207" s="156">
        <f t="shared" si="150"/>
        <v>98967</v>
      </c>
      <c r="P207" s="156"/>
      <c r="Q207" s="156">
        <f t="shared" si="151"/>
        <v>98110</v>
      </c>
      <c r="R207" s="156"/>
      <c r="S207" s="155">
        <f t="shared" si="152"/>
        <v>169229</v>
      </c>
      <c r="T207" s="155"/>
      <c r="U207" s="155">
        <f t="shared" si="153"/>
        <v>59980</v>
      </c>
      <c r="V207" s="155"/>
      <c r="W207" s="155">
        <f t="shared" si="154"/>
        <v>1727422</v>
      </c>
      <c r="X207" s="155"/>
      <c r="Y207" s="155">
        <f t="shared" si="155"/>
        <v>328176</v>
      </c>
      <c r="Z207" s="155"/>
      <c r="AA207" s="155">
        <f t="shared" si="156"/>
        <v>52268</v>
      </c>
      <c r="AB207" s="155"/>
      <c r="AC207" s="156">
        <f t="shared" si="157"/>
        <v>35131</v>
      </c>
      <c r="AD207" s="155"/>
      <c r="AE207" s="156">
        <f t="shared" si="158"/>
        <v>7283</v>
      </c>
      <c r="AF207" s="155"/>
      <c r="AG207" s="156">
        <f t="shared" si="159"/>
        <v>19279</v>
      </c>
      <c r="AI207" s="157">
        <f t="shared" si="82"/>
        <v>-1</v>
      </c>
    </row>
    <row r="208" spans="1:35">
      <c r="A208" s="319"/>
      <c r="B208" s="318"/>
      <c r="C208" s="159">
        <v>393</v>
      </c>
      <c r="E208" s="260" t="s">
        <v>771</v>
      </c>
      <c r="F208" s="222"/>
      <c r="G208" s="261">
        <v>12</v>
      </c>
      <c r="H208" s="222"/>
      <c r="I208" s="285">
        <f>+'Linkin (2)'!W99</f>
        <v>946</v>
      </c>
      <c r="K208" s="162">
        <f t="shared" si="148"/>
        <v>279</v>
      </c>
      <c r="M208" s="156">
        <f t="shared" si="149"/>
        <v>93</v>
      </c>
      <c r="N208" s="156"/>
      <c r="O208" s="156">
        <f t="shared" si="150"/>
        <v>22</v>
      </c>
      <c r="P208" s="156"/>
      <c r="Q208" s="156">
        <f t="shared" si="151"/>
        <v>22</v>
      </c>
      <c r="R208" s="156"/>
      <c r="S208" s="155">
        <f t="shared" si="152"/>
        <v>37</v>
      </c>
      <c r="T208" s="155"/>
      <c r="U208" s="155">
        <f t="shared" si="153"/>
        <v>13</v>
      </c>
      <c r="V208" s="155"/>
      <c r="W208" s="155">
        <f t="shared" si="154"/>
        <v>381</v>
      </c>
      <c r="X208" s="155"/>
      <c r="Y208" s="155">
        <f t="shared" si="155"/>
        <v>72</v>
      </c>
      <c r="Z208" s="155"/>
      <c r="AA208" s="155">
        <f t="shared" si="156"/>
        <v>12</v>
      </c>
      <c r="AB208" s="155"/>
      <c r="AC208" s="156">
        <f t="shared" si="157"/>
        <v>8</v>
      </c>
      <c r="AD208" s="155"/>
      <c r="AE208" s="156">
        <f t="shared" si="158"/>
        <v>2</v>
      </c>
      <c r="AF208" s="155"/>
      <c r="AG208" s="156">
        <f t="shared" si="159"/>
        <v>4</v>
      </c>
      <c r="AI208" s="157">
        <f t="shared" ref="AI208:AI210" si="160">SUM(K208:AG208)-I208</f>
        <v>-1</v>
      </c>
    </row>
    <row r="209" spans="2:35">
      <c r="C209" s="159">
        <v>394</v>
      </c>
      <c r="E209" s="222" t="s">
        <v>296</v>
      </c>
      <c r="F209" s="222"/>
      <c r="G209" s="261">
        <v>12</v>
      </c>
      <c r="H209" s="222"/>
      <c r="I209" s="285">
        <f>+'Linkin (2)'!W100</f>
        <v>1567234</v>
      </c>
      <c r="K209" s="162">
        <f t="shared" si="148"/>
        <v>462804</v>
      </c>
      <c r="M209" s="156">
        <f t="shared" si="149"/>
        <v>154843</v>
      </c>
      <c r="N209" s="156"/>
      <c r="O209" s="156">
        <f t="shared" si="150"/>
        <v>36203</v>
      </c>
      <c r="P209" s="156"/>
      <c r="Q209" s="156">
        <f t="shared" si="151"/>
        <v>35890</v>
      </c>
      <c r="R209" s="156"/>
      <c r="S209" s="155">
        <f t="shared" si="152"/>
        <v>61906</v>
      </c>
      <c r="T209" s="155"/>
      <c r="U209" s="155">
        <f t="shared" si="153"/>
        <v>21941</v>
      </c>
      <c r="V209" s="155"/>
      <c r="W209" s="155">
        <f t="shared" si="154"/>
        <v>631909</v>
      </c>
      <c r="X209" s="155"/>
      <c r="Y209" s="155">
        <f t="shared" si="155"/>
        <v>120050</v>
      </c>
      <c r="Z209" s="155"/>
      <c r="AA209" s="155">
        <f t="shared" si="156"/>
        <v>19120</v>
      </c>
      <c r="AB209" s="155"/>
      <c r="AC209" s="156">
        <f t="shared" si="157"/>
        <v>12851</v>
      </c>
      <c r="AD209" s="155"/>
      <c r="AE209" s="156">
        <f t="shared" si="158"/>
        <v>2664</v>
      </c>
      <c r="AF209" s="155"/>
      <c r="AG209" s="156">
        <f t="shared" si="159"/>
        <v>7053</v>
      </c>
      <c r="AI209" s="157">
        <f t="shared" si="160"/>
        <v>0</v>
      </c>
    </row>
    <row r="210" spans="2:35">
      <c r="C210" s="159">
        <v>395</v>
      </c>
      <c r="E210" s="260" t="s">
        <v>772</v>
      </c>
      <c r="F210" s="222"/>
      <c r="G210" s="261">
        <v>12</v>
      </c>
      <c r="H210" s="222"/>
      <c r="I210" s="285">
        <f>+'Linkin (2)'!W101</f>
        <v>21719</v>
      </c>
      <c r="K210" s="162">
        <f t="shared" si="148"/>
        <v>6414</v>
      </c>
      <c r="M210" s="156">
        <f t="shared" si="149"/>
        <v>2146</v>
      </c>
      <c r="N210" s="156"/>
      <c r="O210" s="156">
        <f t="shared" si="150"/>
        <v>502</v>
      </c>
      <c r="P210" s="156"/>
      <c r="Q210" s="156">
        <f t="shared" si="151"/>
        <v>497</v>
      </c>
      <c r="R210" s="156"/>
      <c r="S210" s="155">
        <f t="shared" si="152"/>
        <v>858</v>
      </c>
      <c r="T210" s="155"/>
      <c r="U210" s="155">
        <f t="shared" si="153"/>
        <v>304</v>
      </c>
      <c r="V210" s="155"/>
      <c r="W210" s="155">
        <f t="shared" si="154"/>
        <v>8757</v>
      </c>
      <c r="X210" s="155"/>
      <c r="Y210" s="155">
        <f t="shared" si="155"/>
        <v>1664</v>
      </c>
      <c r="Z210" s="155"/>
      <c r="AA210" s="155">
        <f t="shared" si="156"/>
        <v>265</v>
      </c>
      <c r="AB210" s="155"/>
      <c r="AC210" s="156">
        <f t="shared" si="157"/>
        <v>178</v>
      </c>
      <c r="AD210" s="155"/>
      <c r="AE210" s="156">
        <f t="shared" si="158"/>
        <v>37</v>
      </c>
      <c r="AF210" s="155"/>
      <c r="AG210" s="156">
        <f t="shared" si="159"/>
        <v>98</v>
      </c>
      <c r="AI210" s="157">
        <f t="shared" si="160"/>
        <v>1</v>
      </c>
    </row>
    <row r="211" spans="2:35">
      <c r="C211" s="159">
        <v>396</v>
      </c>
      <c r="E211" s="222" t="s">
        <v>297</v>
      </c>
      <c r="F211" s="222"/>
      <c r="G211" s="261">
        <v>12</v>
      </c>
      <c r="H211" s="222"/>
      <c r="I211" s="285">
        <f>+'Linkin (2)'!W102</f>
        <v>319421</v>
      </c>
      <c r="K211" s="162">
        <f t="shared" si="148"/>
        <v>94325</v>
      </c>
      <c r="M211" s="156">
        <f t="shared" si="149"/>
        <v>31559</v>
      </c>
      <c r="N211" s="156"/>
      <c r="O211" s="156">
        <f t="shared" si="150"/>
        <v>7379</v>
      </c>
      <c r="P211" s="156"/>
      <c r="Q211" s="156">
        <f t="shared" si="151"/>
        <v>7315</v>
      </c>
      <c r="R211" s="156"/>
      <c r="S211" s="155">
        <f t="shared" si="152"/>
        <v>12617</v>
      </c>
      <c r="T211" s="155"/>
      <c r="U211" s="155">
        <f t="shared" si="153"/>
        <v>4472</v>
      </c>
      <c r="W211" s="156">
        <f t="shared" si="154"/>
        <v>128791</v>
      </c>
      <c r="X211" s="156"/>
      <c r="Y211" s="156">
        <f t="shared" si="155"/>
        <v>24468</v>
      </c>
      <c r="Z211" s="155"/>
      <c r="AA211" s="155">
        <f t="shared" si="156"/>
        <v>3897</v>
      </c>
      <c r="AB211" s="155"/>
      <c r="AC211" s="156">
        <f t="shared" si="157"/>
        <v>2619</v>
      </c>
      <c r="AE211" s="156">
        <f t="shared" si="158"/>
        <v>543</v>
      </c>
      <c r="AG211" s="156">
        <f t="shared" si="159"/>
        <v>1437</v>
      </c>
      <c r="AH211" s="156"/>
      <c r="AI211" s="157">
        <f t="shared" si="82"/>
        <v>1</v>
      </c>
    </row>
    <row r="212" spans="2:35">
      <c r="C212" s="159">
        <v>397</v>
      </c>
      <c r="E212" s="222" t="s">
        <v>298</v>
      </c>
      <c r="F212" s="222"/>
      <c r="G212" s="261">
        <v>12</v>
      </c>
      <c r="H212" s="246"/>
      <c r="I212" s="285">
        <f>+'Linkin (2)'!W103</f>
        <v>104148</v>
      </c>
      <c r="J212" s="150"/>
      <c r="K212" s="162">
        <f>ROUND(VLOOKUP($G212,factors,+K$376)*$I212,0)-1</f>
        <v>30754</v>
      </c>
      <c r="M212" s="156">
        <f t="shared" si="149"/>
        <v>10290</v>
      </c>
      <c r="N212" s="156"/>
      <c r="O212" s="156">
        <f t="shared" si="150"/>
        <v>2406</v>
      </c>
      <c r="P212" s="156"/>
      <c r="Q212" s="156">
        <f t="shared" si="151"/>
        <v>2385</v>
      </c>
      <c r="R212" s="156"/>
      <c r="S212" s="155">
        <f t="shared" si="152"/>
        <v>4114</v>
      </c>
      <c r="T212" s="155"/>
      <c r="U212" s="155">
        <f t="shared" si="153"/>
        <v>1458</v>
      </c>
      <c r="W212" s="156">
        <f t="shared" si="154"/>
        <v>41992</v>
      </c>
      <c r="X212" s="156"/>
      <c r="Y212" s="156">
        <f t="shared" si="155"/>
        <v>7978</v>
      </c>
      <c r="Z212" s="155"/>
      <c r="AA212" s="155">
        <f t="shared" si="156"/>
        <v>1271</v>
      </c>
      <c r="AB212" s="155"/>
      <c r="AC212" s="156">
        <f t="shared" si="157"/>
        <v>854</v>
      </c>
      <c r="AE212" s="156">
        <f t="shared" si="158"/>
        <v>177</v>
      </c>
      <c r="AG212" s="156">
        <f t="shared" si="159"/>
        <v>469</v>
      </c>
      <c r="AH212" s="156"/>
      <c r="AI212" s="157">
        <f t="shared" si="82"/>
        <v>0</v>
      </c>
    </row>
    <row r="213" spans="2:35">
      <c r="C213" s="159">
        <v>398</v>
      </c>
      <c r="E213" s="222" t="s">
        <v>165</v>
      </c>
      <c r="F213" s="222"/>
      <c r="G213" s="261">
        <v>12</v>
      </c>
      <c r="H213" s="246"/>
      <c r="I213" s="285">
        <f>+'Linkin (2)'!W104</f>
        <v>716782</v>
      </c>
      <c r="J213" s="150"/>
      <c r="K213" s="162">
        <f>ROUND(VLOOKUP($G213,factors,+K$376)*$I213,0)-1</f>
        <v>211665</v>
      </c>
      <c r="M213" s="156">
        <f t="shared" si="149"/>
        <v>70818</v>
      </c>
      <c r="N213" s="156"/>
      <c r="O213" s="156">
        <f t="shared" si="150"/>
        <v>16558</v>
      </c>
      <c r="P213" s="156"/>
      <c r="Q213" s="156">
        <f t="shared" si="151"/>
        <v>16414</v>
      </c>
      <c r="R213" s="156"/>
      <c r="S213" s="155">
        <f t="shared" si="152"/>
        <v>28313</v>
      </c>
      <c r="T213" s="155"/>
      <c r="U213" s="155">
        <f t="shared" si="153"/>
        <v>10035</v>
      </c>
      <c r="W213" s="156">
        <f t="shared" si="154"/>
        <v>289007</v>
      </c>
      <c r="X213" s="156"/>
      <c r="Y213" s="156">
        <f t="shared" si="155"/>
        <v>54906</v>
      </c>
      <c r="Z213" s="155"/>
      <c r="AA213" s="155">
        <f t="shared" si="156"/>
        <v>8745</v>
      </c>
      <c r="AB213" s="155"/>
      <c r="AC213" s="156">
        <f t="shared" si="157"/>
        <v>5878</v>
      </c>
      <c r="AE213" s="156">
        <f t="shared" si="158"/>
        <v>1219</v>
      </c>
      <c r="AG213" s="156">
        <f t="shared" si="159"/>
        <v>3226</v>
      </c>
      <c r="AH213" s="156"/>
      <c r="AI213" s="157">
        <f t="shared" si="82"/>
        <v>2</v>
      </c>
    </row>
    <row r="214" spans="2:35">
      <c r="C214" s="159">
        <v>399</v>
      </c>
      <c r="E214" s="222" t="s">
        <v>40</v>
      </c>
      <c r="F214" s="222"/>
      <c r="G214" s="261">
        <v>12</v>
      </c>
      <c r="H214" s="246"/>
      <c r="I214" s="285">
        <f>+'Linkin (2)'!W105</f>
        <v>0</v>
      </c>
      <c r="J214" s="150"/>
      <c r="K214" s="161">
        <f>ROUND(VLOOKUP($G214,factors,+K$376)*$I214,0)</f>
        <v>0</v>
      </c>
      <c r="M214" s="161">
        <f t="shared" si="149"/>
        <v>0</v>
      </c>
      <c r="N214" s="156"/>
      <c r="O214" s="161">
        <f t="shared" si="150"/>
        <v>0</v>
      </c>
      <c r="P214" s="162"/>
      <c r="Q214" s="161">
        <f t="shared" si="151"/>
        <v>0</v>
      </c>
      <c r="R214" s="156"/>
      <c r="S214" s="160">
        <f t="shared" si="152"/>
        <v>0</v>
      </c>
      <c r="T214" s="163"/>
      <c r="U214" s="160">
        <f t="shared" si="153"/>
        <v>0</v>
      </c>
      <c r="W214" s="161">
        <f t="shared" si="154"/>
        <v>0</v>
      </c>
      <c r="X214" s="156"/>
      <c r="Y214" s="161">
        <f t="shared" si="155"/>
        <v>0</v>
      </c>
      <c r="Z214" s="155"/>
      <c r="AA214" s="160">
        <f t="shared" si="156"/>
        <v>0</v>
      </c>
      <c r="AB214" s="163"/>
      <c r="AC214" s="161">
        <f t="shared" si="157"/>
        <v>0</v>
      </c>
      <c r="AE214" s="161">
        <f t="shared" si="158"/>
        <v>0</v>
      </c>
      <c r="AG214" s="161">
        <f t="shared" si="159"/>
        <v>0</v>
      </c>
      <c r="AH214" s="156"/>
      <c r="AI214" s="157">
        <f t="shared" si="82"/>
        <v>0</v>
      </c>
    </row>
    <row r="215" spans="2:35" ht="15.75">
      <c r="E215" s="476" t="s">
        <v>242</v>
      </c>
      <c r="F215" s="476"/>
      <c r="G215" s="477"/>
      <c r="H215" s="476"/>
      <c r="I215" s="481">
        <f>SUM(I205:I214)</f>
        <v>12089092</v>
      </c>
      <c r="J215" s="27"/>
      <c r="K215" s="39">
        <f>SUM(K205:K214)</f>
        <v>3569907</v>
      </c>
      <c r="L215" s="27"/>
      <c r="M215" s="39">
        <f>SUM(M205:M214)</f>
        <v>1194403</v>
      </c>
      <c r="N215" s="27"/>
      <c r="O215" s="39">
        <f>SUM(O205:O214)</f>
        <v>279259</v>
      </c>
      <c r="P215" s="48"/>
      <c r="Q215" s="39">
        <f>SUM(Q205:Q214)</f>
        <v>276840</v>
      </c>
      <c r="R215" s="27"/>
      <c r="S215" s="39">
        <f>SUM(S205:S214)</f>
        <v>477520</v>
      </c>
      <c r="T215" s="48"/>
      <c r="U215" s="39">
        <f>SUM(U205:U214)</f>
        <v>169247</v>
      </c>
      <c r="V215" s="27"/>
      <c r="W215" s="39">
        <f>SUM(W205:W214)</f>
        <v>4874322</v>
      </c>
      <c r="X215" s="27"/>
      <c r="Y215" s="39">
        <f>SUM(Y205:Y214)</f>
        <v>926025</v>
      </c>
      <c r="Z215" s="27"/>
      <c r="AA215" s="39">
        <f>SUM(AA205:AA214)</f>
        <v>147487</v>
      </c>
      <c r="AB215" s="48"/>
      <c r="AC215" s="39">
        <f>SUM(AC205:AC214)</f>
        <v>99131</v>
      </c>
      <c r="AD215" s="27"/>
      <c r="AE215" s="39">
        <f>SUM(AE205:AE214)</f>
        <v>20552</v>
      </c>
      <c r="AF215" s="27"/>
      <c r="AG215" s="39">
        <f>SUM(AG205:AG214)</f>
        <v>54401</v>
      </c>
      <c r="AH215" s="27"/>
      <c r="AI215" s="157">
        <f t="shared" si="82"/>
        <v>2</v>
      </c>
    </row>
    <row r="216" spans="2:35" ht="15.75">
      <c r="B216" s="155">
        <f>+I215+I201+I181+I171+I168</f>
        <v>92205886</v>
      </c>
      <c r="E216" s="476"/>
      <c r="F216" s="476"/>
      <c r="G216" s="477"/>
      <c r="H216" s="476"/>
      <c r="I216" s="479"/>
      <c r="J216" s="27"/>
      <c r="K216" s="48"/>
      <c r="L216" s="27"/>
      <c r="M216" s="48"/>
      <c r="N216" s="27"/>
      <c r="O216" s="48"/>
      <c r="P216" s="48"/>
      <c r="Q216" s="48"/>
      <c r="R216" s="27"/>
      <c r="S216" s="48"/>
      <c r="T216" s="48"/>
      <c r="U216" s="48"/>
      <c r="V216" s="27"/>
      <c r="W216" s="48"/>
      <c r="X216" s="27"/>
      <c r="Y216" s="48"/>
      <c r="Z216" s="27"/>
      <c r="AA216" s="48"/>
      <c r="AB216" s="48"/>
      <c r="AC216" s="48"/>
      <c r="AD216" s="27"/>
      <c r="AE216" s="48"/>
      <c r="AF216" s="27"/>
      <c r="AG216" s="48"/>
      <c r="AH216" s="27"/>
      <c r="AI216" s="157"/>
    </row>
    <row r="217" spans="2:35" ht="15.75">
      <c r="C217" s="27" t="s">
        <v>774</v>
      </c>
      <c r="E217" s="476"/>
      <c r="F217" s="476"/>
      <c r="G217" s="477"/>
      <c r="H217" s="476"/>
      <c r="I217" s="479"/>
      <c r="J217" s="27"/>
      <c r="K217" s="48"/>
      <c r="L217" s="27"/>
      <c r="M217" s="48"/>
      <c r="N217" s="27"/>
      <c r="O217" s="48"/>
      <c r="P217" s="48"/>
      <c r="Q217" s="48"/>
      <c r="R217" s="27"/>
      <c r="S217" s="48"/>
      <c r="T217" s="48"/>
      <c r="U217" s="48"/>
      <c r="V217" s="27"/>
      <c r="W217" s="48"/>
      <c r="X217" s="27"/>
      <c r="Y217" s="48"/>
      <c r="Z217" s="27"/>
      <c r="AA217" s="48"/>
      <c r="AB217" s="48"/>
      <c r="AC217" s="48"/>
      <c r="AD217" s="27"/>
      <c r="AE217" s="48"/>
      <c r="AF217" s="27"/>
      <c r="AG217" s="48"/>
      <c r="AH217" s="27"/>
      <c r="AI217" s="157"/>
    </row>
    <row r="218" spans="2:35" ht="15.75">
      <c r="B218" s="149">
        <v>0.91239999999999999</v>
      </c>
      <c r="C218" s="426">
        <v>390.2</v>
      </c>
      <c r="E218" s="483" t="s">
        <v>531</v>
      </c>
      <c r="F218" s="476"/>
      <c r="G218" s="392">
        <v>12</v>
      </c>
      <c r="H218" s="476"/>
      <c r="I218" s="484">
        <f>+'Linkin (2)'!W132*B218</f>
        <v>885906.64119999995</v>
      </c>
      <c r="J218" s="27"/>
      <c r="K218" s="162">
        <f>ROUND(VLOOKUP($G218,factors,+K$376)*$I218,0)</f>
        <v>261608</v>
      </c>
      <c r="M218" s="156">
        <f>ROUND(VLOOKUP($G218,factors,+M$376)*$I218,0)</f>
        <v>87528</v>
      </c>
      <c r="N218" s="156"/>
      <c r="O218" s="156">
        <f>ROUND(VLOOKUP($G218,factors,+O$376)*$I218,0)</f>
        <v>20464</v>
      </c>
      <c r="P218" s="156"/>
      <c r="Q218" s="156">
        <f>ROUND(VLOOKUP($G218,factors,+Q$376)*$I218,0)</f>
        <v>20287</v>
      </c>
      <c r="R218" s="156"/>
      <c r="S218" s="155">
        <f>ROUND(VLOOKUP($G218,factors,+S$376)*$I218,0)</f>
        <v>34993</v>
      </c>
      <c r="T218" s="155"/>
      <c r="U218" s="155">
        <f>ROUND(VLOOKUP($G218,factors,+U$376)*$I218,0)</f>
        <v>12403</v>
      </c>
      <c r="V218" s="155"/>
      <c r="W218" s="155">
        <f>ROUND(VLOOKUP($G218,factors,+W$376)*$I218,0)</f>
        <v>357198</v>
      </c>
      <c r="X218" s="155"/>
      <c r="Y218" s="155">
        <f>ROUND(VLOOKUP($G218,factors,+Y$376)*$I218,0)</f>
        <v>67860</v>
      </c>
      <c r="Z218" s="155"/>
      <c r="AA218" s="155">
        <f>ROUND(VLOOKUP($G218,factors,+AA$376)*$I218,0)</f>
        <v>10808</v>
      </c>
      <c r="AB218" s="155"/>
      <c r="AC218" s="156">
        <f>ROUND(VLOOKUP($G218,factors,+AC$376)*$I218,0)</f>
        <v>7264</v>
      </c>
      <c r="AD218" s="155"/>
      <c r="AE218" s="156">
        <f>ROUND(VLOOKUP($G218,factors,+AE$376)*$I218,0)</f>
        <v>1506</v>
      </c>
      <c r="AF218" s="155"/>
      <c r="AG218" s="156">
        <f>ROUND(VLOOKUP($G218,factors,+AG$376)*$I218,0)</f>
        <v>3987</v>
      </c>
      <c r="AI218" s="157">
        <f>SUM(K218:AG218)-I218</f>
        <v>-0.64119999995455146</v>
      </c>
    </row>
    <row r="219" spans="2:35" ht="15.75">
      <c r="C219" s="420">
        <v>391</v>
      </c>
      <c r="E219" s="225" t="s">
        <v>529</v>
      </c>
      <c r="F219" s="476"/>
      <c r="G219" s="392">
        <v>12</v>
      </c>
      <c r="H219" s="476"/>
      <c r="I219" s="484">
        <f>+SUM('Linkin (2)'!W134:W135)*B218</f>
        <v>432097.12919999997</v>
      </c>
      <c r="J219" s="27"/>
      <c r="K219" s="162">
        <f>ROUND(VLOOKUP($G219,factors,+K$376)*$I219,0)</f>
        <v>127598</v>
      </c>
      <c r="M219" s="156">
        <f>ROUND(VLOOKUP($G219,factors,+M$376)*$I219,0)</f>
        <v>42691</v>
      </c>
      <c r="N219" s="156"/>
      <c r="O219" s="156">
        <f>ROUND(VLOOKUP($G219,factors,+O$376)*$I219,0)</f>
        <v>9981</v>
      </c>
      <c r="P219" s="156"/>
      <c r="Q219" s="156">
        <f>ROUND(VLOOKUP($G219,factors,+Q$376)*$I219,0)</f>
        <v>9895</v>
      </c>
      <c r="R219" s="156"/>
      <c r="S219" s="155">
        <f>ROUND(VLOOKUP($G219,factors,+S$376)*$I219,0)</f>
        <v>17068</v>
      </c>
      <c r="T219" s="155"/>
      <c r="U219" s="155">
        <f>ROUND(VLOOKUP($G219,factors,+U$376)*$I219,0)</f>
        <v>6049</v>
      </c>
      <c r="V219" s="155"/>
      <c r="W219" s="155">
        <f>ROUND(VLOOKUP($G219,factors,+W$376)*$I219,0)</f>
        <v>174222</v>
      </c>
      <c r="X219" s="155"/>
      <c r="Y219" s="155">
        <f>ROUND(VLOOKUP($G219,factors,+Y$376)*$I219,0)</f>
        <v>33099</v>
      </c>
      <c r="Z219" s="155"/>
      <c r="AA219" s="155">
        <f>ROUND(VLOOKUP($G219,factors,+AA$376)*$I219,0)</f>
        <v>5272</v>
      </c>
      <c r="AB219" s="155"/>
      <c r="AC219" s="156">
        <f>ROUND(VLOOKUP($G219,factors,+AC$376)*$I219,0)</f>
        <v>3543</v>
      </c>
      <c r="AD219" s="155"/>
      <c r="AE219" s="156">
        <f>ROUND(VLOOKUP($G219,factors,+AE$376)*$I219,0)</f>
        <v>735</v>
      </c>
      <c r="AF219" s="155"/>
      <c r="AG219" s="156">
        <f>ROUND(VLOOKUP($G219,factors,+AG$376)*$I219,0)</f>
        <v>1944</v>
      </c>
      <c r="AI219" s="157">
        <f>SUM(K219:AG219)-I219</f>
        <v>-0.12919999996665865</v>
      </c>
    </row>
    <row r="220" spans="2:35" ht="15.75">
      <c r="C220" s="420">
        <v>392.1</v>
      </c>
      <c r="E220" s="225" t="s">
        <v>530</v>
      </c>
      <c r="F220" s="476"/>
      <c r="G220" s="392">
        <v>12</v>
      </c>
      <c r="H220" s="476"/>
      <c r="I220" s="485">
        <f>+'Linkin (2)'!W136*B218</f>
        <v>769.15319999999997</v>
      </c>
      <c r="J220" s="27"/>
      <c r="K220" s="161">
        <f>ROUND(VLOOKUP($G220,factors,+K$376)*$I220,0)</f>
        <v>227</v>
      </c>
      <c r="M220" s="161">
        <f>ROUND(VLOOKUP($G220,factors,+M$376)*$I220,0)</f>
        <v>76</v>
      </c>
      <c r="N220" s="156"/>
      <c r="O220" s="161">
        <f>ROUND(VLOOKUP($G220,factors,+O$376)*$I220,0)</f>
        <v>18</v>
      </c>
      <c r="P220" s="162"/>
      <c r="Q220" s="161">
        <f>ROUND(VLOOKUP($G220,factors,+Q$376)*$I220,0)</f>
        <v>18</v>
      </c>
      <c r="R220" s="156"/>
      <c r="S220" s="160">
        <f>ROUND(VLOOKUP($G220,factors,+S$376)*$I220,0)</f>
        <v>30</v>
      </c>
      <c r="T220" s="163"/>
      <c r="U220" s="160">
        <f>ROUND(VLOOKUP($G220,factors,+U$376)*$I220,0)</f>
        <v>11</v>
      </c>
      <c r="W220" s="161">
        <f>ROUND(VLOOKUP($G220,factors,+W$376)*$I220,0)</f>
        <v>310</v>
      </c>
      <c r="X220" s="156"/>
      <c r="Y220" s="161">
        <f>ROUND(VLOOKUP($G220,factors,+Y$376)*$I220,0)</f>
        <v>59</v>
      </c>
      <c r="Z220" s="155"/>
      <c r="AA220" s="160">
        <f>ROUND(VLOOKUP($G220,factors,+AA$376)*$I220,0)</f>
        <v>9</v>
      </c>
      <c r="AB220" s="163"/>
      <c r="AC220" s="161">
        <f>ROUND(VLOOKUP($G220,factors,+AC$376)*$I220,0)</f>
        <v>6</v>
      </c>
      <c r="AE220" s="161">
        <f>ROUND(VLOOKUP($G220,factors,+AE$376)*$I220,0)</f>
        <v>1</v>
      </c>
      <c r="AG220" s="161">
        <f>ROUND(VLOOKUP($G220,factors,+AG$376)*$I220,0)</f>
        <v>3</v>
      </c>
      <c r="AI220" s="157">
        <f>SUM(K220:AG220)-I220</f>
        <v>-1.1531999999999698</v>
      </c>
    </row>
    <row r="221" spans="2:35" ht="15.75">
      <c r="D221" s="1"/>
      <c r="E221" s="486" t="s">
        <v>528</v>
      </c>
      <c r="F221" s="476"/>
      <c r="G221" s="477"/>
      <c r="H221" s="476"/>
      <c r="I221" s="479">
        <f>SUM(I218:I220)</f>
        <v>1318772.9235999999</v>
      </c>
      <c r="J221" s="48"/>
      <c r="K221" s="48">
        <f t="shared" ref="K221:AG221" si="161">SUM(K218:K220)</f>
        <v>389433</v>
      </c>
      <c r="L221" s="48">
        <f t="shared" si="161"/>
        <v>0</v>
      </c>
      <c r="M221" s="48">
        <f t="shared" si="161"/>
        <v>130295</v>
      </c>
      <c r="N221" s="48">
        <f t="shared" si="161"/>
        <v>0</v>
      </c>
      <c r="O221" s="48">
        <f t="shared" si="161"/>
        <v>30463</v>
      </c>
      <c r="P221" s="48">
        <f t="shared" si="161"/>
        <v>0</v>
      </c>
      <c r="Q221" s="48">
        <f t="shared" si="161"/>
        <v>30200</v>
      </c>
      <c r="R221" s="48">
        <f t="shared" si="161"/>
        <v>0</v>
      </c>
      <c r="S221" s="48">
        <f t="shared" si="161"/>
        <v>52091</v>
      </c>
      <c r="T221" s="48">
        <f t="shared" si="161"/>
        <v>0</v>
      </c>
      <c r="U221" s="48">
        <f t="shared" si="161"/>
        <v>18463</v>
      </c>
      <c r="V221" s="48">
        <f t="shared" si="161"/>
        <v>0</v>
      </c>
      <c r="W221" s="48">
        <f t="shared" si="161"/>
        <v>531730</v>
      </c>
      <c r="X221" s="48">
        <f t="shared" si="161"/>
        <v>0</v>
      </c>
      <c r="Y221" s="48">
        <f t="shared" si="161"/>
        <v>101018</v>
      </c>
      <c r="Z221" s="48">
        <f t="shared" si="161"/>
        <v>0</v>
      </c>
      <c r="AA221" s="48">
        <f t="shared" si="161"/>
        <v>16089</v>
      </c>
      <c r="AB221" s="48">
        <f t="shared" si="161"/>
        <v>0</v>
      </c>
      <c r="AC221" s="48">
        <f t="shared" si="161"/>
        <v>10813</v>
      </c>
      <c r="AD221" s="48">
        <f t="shared" si="161"/>
        <v>0</v>
      </c>
      <c r="AE221" s="48">
        <f t="shared" si="161"/>
        <v>2242</v>
      </c>
      <c r="AF221" s="48">
        <f t="shared" si="161"/>
        <v>0</v>
      </c>
      <c r="AG221" s="48">
        <f t="shared" si="161"/>
        <v>5934</v>
      </c>
      <c r="AH221" s="48"/>
      <c r="AI221" s="157">
        <f>SUM(K221:AG221)-I221</f>
        <v>-1.9235999998636544</v>
      </c>
    </row>
    <row r="222" spans="2:35" ht="15.75">
      <c r="E222" s="476"/>
      <c r="F222" s="476"/>
      <c r="G222" s="477"/>
      <c r="H222" s="476"/>
      <c r="I222" s="479"/>
      <c r="J222" s="27"/>
      <c r="K222" s="48"/>
      <c r="L222" s="27"/>
      <c r="M222" s="48"/>
      <c r="N222" s="27"/>
      <c r="O222" s="48"/>
      <c r="P222" s="48"/>
      <c r="Q222" s="48"/>
      <c r="R222" s="27"/>
      <c r="S222" s="48"/>
      <c r="T222" s="48"/>
      <c r="U222" s="48"/>
      <c r="V222" s="27"/>
      <c r="W222" s="48"/>
      <c r="X222" s="27"/>
      <c r="Y222" s="48"/>
      <c r="Z222" s="27"/>
      <c r="AA222" s="48"/>
      <c r="AB222" s="48"/>
      <c r="AC222" s="48"/>
      <c r="AD222" s="27"/>
      <c r="AE222" s="48"/>
      <c r="AF222" s="27"/>
      <c r="AG222" s="48"/>
      <c r="AH222" s="27"/>
      <c r="AI222" s="157"/>
    </row>
    <row r="223" spans="2:35" ht="15.75">
      <c r="B223" s="149">
        <v>0.91720000000000002</v>
      </c>
      <c r="C223" s="27" t="s">
        <v>775</v>
      </c>
      <c r="E223" s="476"/>
      <c r="F223" s="476"/>
      <c r="G223" s="477"/>
      <c r="H223" s="476"/>
      <c r="I223" s="479"/>
      <c r="J223" s="27"/>
      <c r="K223" s="48"/>
      <c r="L223" s="27"/>
      <c r="M223" s="48"/>
      <c r="N223" s="27"/>
      <c r="O223" s="48"/>
      <c r="P223" s="48"/>
      <c r="Q223" s="48"/>
      <c r="R223" s="27"/>
      <c r="S223" s="48"/>
      <c r="T223" s="48"/>
      <c r="U223" s="48"/>
      <c r="V223" s="27"/>
      <c r="W223" s="48"/>
      <c r="X223" s="27"/>
      <c r="Y223" s="48"/>
      <c r="Z223" s="27"/>
      <c r="AA223" s="48"/>
      <c r="AB223" s="48"/>
      <c r="AC223" s="48"/>
      <c r="AD223" s="27"/>
      <c r="AE223" s="48"/>
      <c r="AF223" s="27"/>
      <c r="AG223" s="48"/>
      <c r="AH223" s="27"/>
      <c r="AI223" s="157"/>
    </row>
    <row r="224" spans="2:35" ht="15.75">
      <c r="C224" s="159">
        <v>391</v>
      </c>
      <c r="E224" s="225" t="s">
        <v>529</v>
      </c>
      <c r="F224" s="476"/>
      <c r="G224" s="392">
        <v>12</v>
      </c>
      <c r="H224" s="476"/>
      <c r="I224" s="795">
        <f>+'Linkin (2)'!W147*B223-I225</f>
        <v>10906180.418886933</v>
      </c>
      <c r="J224" s="27"/>
      <c r="K224" s="162">
        <f>ROUND(VLOOKUP($G224,factors,+K$376)*$I224,0)</f>
        <v>3220595</v>
      </c>
      <c r="M224" s="156">
        <f>ROUND(VLOOKUP($G224,factors,+M$376)*$I224,0)</f>
        <v>1077531</v>
      </c>
      <c r="N224" s="156"/>
      <c r="O224" s="156">
        <f>ROUND(VLOOKUP($G224,factors,+O$376)*$I224,0)</f>
        <v>251933</v>
      </c>
      <c r="P224" s="156"/>
      <c r="Q224" s="156">
        <f>ROUND(VLOOKUP($G224,factors,+Q$376)*$I224,0)</f>
        <v>249752</v>
      </c>
      <c r="R224" s="156"/>
      <c r="S224" s="155">
        <f>ROUND(VLOOKUP($G224,factors,+S$376)*$I224,0)</f>
        <v>430794</v>
      </c>
      <c r="T224" s="155"/>
      <c r="U224" s="155">
        <f>ROUND(VLOOKUP($G224,factors,+U$376)*$I224,0)</f>
        <v>152687</v>
      </c>
      <c r="V224" s="155"/>
      <c r="W224" s="155">
        <f>ROUND(VLOOKUP($G224,factors,+W$376)*$I224,0)</f>
        <v>4397372</v>
      </c>
      <c r="X224" s="155"/>
      <c r="Y224" s="155">
        <f>ROUND(VLOOKUP($G224,factors,+Y$376)*$I224,0)</f>
        <v>835413</v>
      </c>
      <c r="Z224" s="155"/>
      <c r="AA224" s="155">
        <f>ROUND(VLOOKUP($G224,factors,+AA$376)*$I224,0)</f>
        <v>133055</v>
      </c>
      <c r="AB224" s="155"/>
      <c r="AC224" s="156">
        <f>ROUND(VLOOKUP($G224,factors,+AC$376)*$I224,0)</f>
        <v>89431</v>
      </c>
      <c r="AD224" s="155"/>
      <c r="AE224" s="156">
        <f>ROUND(VLOOKUP($G224,factors,+AE$376)*$I224,0)</f>
        <v>18541</v>
      </c>
      <c r="AF224" s="155"/>
      <c r="AG224" s="156">
        <f>ROUND(VLOOKUP($G224,factors,+AG$376)*$I224,0)</f>
        <v>49078</v>
      </c>
      <c r="AI224" s="157">
        <f>SUM(K224:AG224)-I224</f>
        <v>1.5811130665242672</v>
      </c>
    </row>
    <row r="225" spans="1:41" ht="15.75">
      <c r="C225" s="159">
        <v>391.1</v>
      </c>
      <c r="E225" s="225" t="s">
        <v>532</v>
      </c>
      <c r="F225" s="476"/>
      <c r="G225" s="392">
        <v>7</v>
      </c>
      <c r="H225" s="476"/>
      <c r="I225" s="485">
        <f>+'Linkin (2)'!M174*B223</f>
        <v>4657121.4111130675</v>
      </c>
      <c r="J225" s="27"/>
      <c r="K225" s="161">
        <f>ROUND(VLOOKUP($G225,factors,+K$376)*$I225,0)</f>
        <v>0</v>
      </c>
      <c r="M225" s="161">
        <f>ROUND(VLOOKUP($G225,factors,+M$376)*$I225,0)</f>
        <v>0</v>
      </c>
      <c r="N225" s="156"/>
      <c r="O225" s="161">
        <f>ROUND(VLOOKUP($G225,factors,+O$376)*$I225,0)</f>
        <v>0</v>
      </c>
      <c r="P225" s="162"/>
      <c r="Q225" s="161">
        <f>ROUND(VLOOKUP($G225,factors,+Q$376)*$I225,0)</f>
        <v>0</v>
      </c>
      <c r="R225" s="156"/>
      <c r="S225" s="160">
        <f>ROUND(VLOOKUP($G225,factors,+S$376)*$I225,0)</f>
        <v>0</v>
      </c>
      <c r="T225" s="163"/>
      <c r="U225" s="160">
        <f>ROUND(VLOOKUP($G225,factors,+U$376)*$I225,0)</f>
        <v>0</v>
      </c>
      <c r="W225" s="161">
        <f>ROUND(VLOOKUP($G225,factors,+W$376)*$I225,0)</f>
        <v>4161138</v>
      </c>
      <c r="X225" s="156"/>
      <c r="Y225" s="161">
        <f>ROUND(VLOOKUP($G225,factors,+Y$376)*$I225,0)</f>
        <v>478752</v>
      </c>
      <c r="Z225" s="155"/>
      <c r="AA225" s="160">
        <f>ROUND(VLOOKUP($G225,factors,+AA$376)*$I225,0)</f>
        <v>10711</v>
      </c>
      <c r="AB225" s="163"/>
      <c r="AC225" s="161">
        <f>ROUND(VLOOKUP($G225,factors,+AC$376)*$I225,0)</f>
        <v>3260</v>
      </c>
      <c r="AE225" s="161">
        <f>ROUND(VLOOKUP($G225,factors,+AE$376)*$I225,0)</f>
        <v>466</v>
      </c>
      <c r="AG225" s="161">
        <f>ROUND(VLOOKUP($G225,factors,+AG$376)*$I225,0)</f>
        <v>2794</v>
      </c>
      <c r="AI225" s="157">
        <f>SUM(K225:AG225)-I225</f>
        <v>-0.41111306753009558</v>
      </c>
    </row>
    <row r="226" spans="1:41" ht="15.75">
      <c r="E226" s="476" t="s">
        <v>533</v>
      </c>
      <c r="F226" s="222"/>
      <c r="G226" s="261"/>
      <c r="H226" s="222"/>
      <c r="I226" s="487">
        <f>SUM(I224:I225)</f>
        <v>15563301.830000002</v>
      </c>
      <c r="J226" s="249"/>
      <c r="K226" s="249">
        <f t="shared" ref="K226:AG226" si="162">SUM(K224:K225)</f>
        <v>3220595</v>
      </c>
      <c r="L226" s="249">
        <f t="shared" si="162"/>
        <v>0</v>
      </c>
      <c r="M226" s="249">
        <f t="shared" si="162"/>
        <v>1077531</v>
      </c>
      <c r="N226" s="249">
        <f t="shared" si="162"/>
        <v>0</v>
      </c>
      <c r="O226" s="249">
        <f t="shared" si="162"/>
        <v>251933</v>
      </c>
      <c r="P226" s="249">
        <f t="shared" si="162"/>
        <v>0</v>
      </c>
      <c r="Q226" s="249">
        <f t="shared" si="162"/>
        <v>249752</v>
      </c>
      <c r="R226" s="249">
        <f t="shared" si="162"/>
        <v>0</v>
      </c>
      <c r="S226" s="249">
        <f t="shared" si="162"/>
        <v>430794</v>
      </c>
      <c r="T226" s="249">
        <f t="shared" si="162"/>
        <v>0</v>
      </c>
      <c r="U226" s="249">
        <f t="shared" si="162"/>
        <v>152687</v>
      </c>
      <c r="V226" s="249">
        <f t="shared" si="162"/>
        <v>0</v>
      </c>
      <c r="W226" s="249">
        <f t="shared" si="162"/>
        <v>8558510</v>
      </c>
      <c r="X226" s="249">
        <f t="shared" si="162"/>
        <v>0</v>
      </c>
      <c r="Y226" s="249">
        <f t="shared" si="162"/>
        <v>1314165</v>
      </c>
      <c r="Z226" s="249">
        <f t="shared" si="162"/>
        <v>0</v>
      </c>
      <c r="AA226" s="249">
        <f t="shared" si="162"/>
        <v>143766</v>
      </c>
      <c r="AB226" s="249">
        <f t="shared" si="162"/>
        <v>0</v>
      </c>
      <c r="AC226" s="249">
        <f t="shared" si="162"/>
        <v>92691</v>
      </c>
      <c r="AD226" s="249">
        <f t="shared" si="162"/>
        <v>0</v>
      </c>
      <c r="AE226" s="249">
        <f t="shared" si="162"/>
        <v>19007</v>
      </c>
      <c r="AF226" s="249">
        <f t="shared" si="162"/>
        <v>0</v>
      </c>
      <c r="AG226" s="249">
        <f t="shared" si="162"/>
        <v>51872</v>
      </c>
      <c r="AI226" s="157">
        <f>SUM(K226:AG226)-I226</f>
        <v>1.169999998062849</v>
      </c>
    </row>
    <row r="227" spans="1:41" ht="15.75">
      <c r="E227" s="476"/>
      <c r="F227" s="222"/>
      <c r="G227" s="261"/>
      <c r="H227" s="222"/>
      <c r="I227" s="487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I227" s="157"/>
    </row>
    <row r="228" spans="1:41" ht="15.75">
      <c r="C228" s="27" t="s">
        <v>552</v>
      </c>
      <c r="E228" s="476"/>
      <c r="F228" s="222"/>
      <c r="G228" s="261"/>
      <c r="H228" s="222"/>
      <c r="I228" s="487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I228" s="157"/>
    </row>
    <row r="229" spans="1:41" ht="15.75">
      <c r="A229" s="155">
        <f>+I215+I221+I226+I230</f>
        <v>28964772.753600001</v>
      </c>
      <c r="C229" s="27"/>
      <c r="E229" s="260" t="s">
        <v>553</v>
      </c>
      <c r="F229" s="222"/>
      <c r="G229" s="261">
        <v>12</v>
      </c>
      <c r="H229" s="222"/>
      <c r="I229" s="262">
        <f>+'Linkin (2)'!S166</f>
        <v>-6361000</v>
      </c>
      <c r="J229" s="262"/>
      <c r="K229" s="162">
        <f>ROUND(VLOOKUP($G229,factors,+K$376)*$I229,0)</f>
        <v>-1878403</v>
      </c>
      <c r="M229" s="156">
        <f>ROUND(VLOOKUP($G229,factors,+M$376)*$I229,0)</f>
        <v>-628467</v>
      </c>
      <c r="N229" s="156"/>
      <c r="O229" s="156">
        <f>ROUND(VLOOKUP($G229,factors,+O$376)*$I229,0)</f>
        <v>-146939</v>
      </c>
      <c r="P229" s="156"/>
      <c r="Q229" s="156">
        <f>ROUND(VLOOKUP($G229,factors,+Q$376)*$I229,0)</f>
        <v>-145667</v>
      </c>
      <c r="R229" s="156"/>
      <c r="S229" s="155">
        <f>ROUND(VLOOKUP($G229,factors,+S$376)*$I229,0)</f>
        <v>-251260</v>
      </c>
      <c r="T229" s="155"/>
      <c r="U229" s="155">
        <f>ROUND(VLOOKUP($G229,factors,+U$376)*$I229,0)</f>
        <v>-89054</v>
      </c>
      <c r="V229" s="155"/>
      <c r="W229" s="155">
        <f>ROUND(VLOOKUP($G229,factors,+W$376)*$I229,0)</f>
        <v>-2564755</v>
      </c>
      <c r="X229" s="155"/>
      <c r="Y229" s="155">
        <f>ROUND(VLOOKUP($G229,factors,+Y$376)*$I229,0)</f>
        <v>-487253</v>
      </c>
      <c r="Z229" s="155"/>
      <c r="AA229" s="155">
        <f>ROUND(VLOOKUP($G229,factors,+AA$376)*$I229,0)</f>
        <v>-77604</v>
      </c>
      <c r="AB229" s="155"/>
      <c r="AC229" s="156">
        <f>ROUND(VLOOKUP($G229,factors,+AC$376)*$I229,0)</f>
        <v>-52160</v>
      </c>
      <c r="AD229" s="155"/>
      <c r="AE229" s="156">
        <f>ROUND(VLOOKUP($G229,factors,+AE$376)*$I229,0)</f>
        <v>-10814</v>
      </c>
      <c r="AF229" s="155"/>
      <c r="AG229" s="156">
        <f>ROUND(VLOOKUP($G229,factors,+AG$376)*$I229,0)</f>
        <v>-28625</v>
      </c>
      <c r="AI229" s="157">
        <f>SUM(K229:AG229)-I229</f>
        <v>-1</v>
      </c>
    </row>
    <row r="230" spans="1:41" ht="15.75">
      <c r="C230" s="426">
        <v>390.1</v>
      </c>
      <c r="E230" s="260" t="s">
        <v>828</v>
      </c>
      <c r="F230" s="222"/>
      <c r="G230" s="261">
        <v>12</v>
      </c>
      <c r="H230" s="222"/>
      <c r="I230" s="485">
        <f>-'Linkin (2)'!W154</f>
        <v>-6394</v>
      </c>
      <c r="J230" s="87"/>
      <c r="K230" s="438">
        <f>ROUND(VLOOKUP($G230,factors,+K$376)*$I230,0)</f>
        <v>-1888</v>
      </c>
      <c r="L230" s="87"/>
      <c r="M230" s="438">
        <f>ROUND(VLOOKUP($G230,factors,+M$376)*$I230,0)</f>
        <v>-632</v>
      </c>
      <c r="N230" s="177"/>
      <c r="O230" s="438">
        <f>ROUND(VLOOKUP($G230,factors,+O$376)*$I230,0)</f>
        <v>-148</v>
      </c>
      <c r="P230" s="439"/>
      <c r="Q230" s="438">
        <f>ROUND(VLOOKUP($G230,factors,+Q$376)*$I230,0)</f>
        <v>-146</v>
      </c>
      <c r="R230" s="177"/>
      <c r="S230" s="243">
        <f>ROUND(VLOOKUP($G230,factors,+S$376)*$I230,0)</f>
        <v>-253</v>
      </c>
      <c r="T230" s="244"/>
      <c r="U230" s="243">
        <f>ROUND(VLOOKUP($G230,factors,+U$376)*$I230,0)</f>
        <v>-90</v>
      </c>
      <c r="V230" s="87"/>
      <c r="W230" s="438">
        <f>ROUND(VLOOKUP($G230,factors,+W$376)*$I230,0)</f>
        <v>-2578</v>
      </c>
      <c r="X230" s="177"/>
      <c r="Y230" s="438">
        <f>ROUND(VLOOKUP($G230,factors,+Y$376)*$I230,0)</f>
        <v>-490</v>
      </c>
      <c r="Z230" s="147"/>
      <c r="AA230" s="243">
        <f>ROUND(VLOOKUP($G230,factors,+AA$376)*$I230,0)</f>
        <v>-78</v>
      </c>
      <c r="AB230" s="244"/>
      <c r="AC230" s="438">
        <f>ROUND(VLOOKUP($G230,factors,+AC$376)*$I230,0)</f>
        <v>-52</v>
      </c>
      <c r="AD230" s="87"/>
      <c r="AE230" s="438">
        <f>ROUND(VLOOKUP($G230,factors,+AE$376)*$I230,0)</f>
        <v>-11</v>
      </c>
      <c r="AF230" s="87"/>
      <c r="AG230" s="438">
        <f>ROUND(VLOOKUP($G230,factors,+AG$376)*$I230,0)</f>
        <v>-29</v>
      </c>
      <c r="AH230" s="27"/>
      <c r="AI230" s="427">
        <f>SUM(K230:AG230)-I230</f>
        <v>-1</v>
      </c>
      <c r="AJ230" s="27"/>
    </row>
    <row r="231" spans="1:41">
      <c r="E231" s="222"/>
      <c r="F231" s="222"/>
      <c r="G231" s="261"/>
      <c r="H231" s="222"/>
      <c r="I231" s="285"/>
      <c r="K231" s="155"/>
      <c r="M231" s="155"/>
      <c r="O231" s="155"/>
      <c r="P231" s="155"/>
      <c r="Q231" s="155"/>
      <c r="S231" s="155"/>
      <c r="T231" s="155"/>
      <c r="U231" s="155"/>
      <c r="W231" s="155"/>
      <c r="Y231" s="155"/>
      <c r="Z231" s="155"/>
      <c r="AA231" s="155"/>
      <c r="AB231" s="155"/>
      <c r="AC231" s="155"/>
      <c r="AE231" s="155"/>
      <c r="AG231" s="155"/>
      <c r="AI231" s="157"/>
    </row>
    <row r="232" spans="1:41" ht="15.75">
      <c r="A232" s="155">
        <f>+'Linkin (2)'!Y114</f>
        <v>102722000</v>
      </c>
      <c r="B232" s="154">
        <f>+I232-'Linkin (2)'!W158</f>
        <v>-6361000</v>
      </c>
      <c r="E232" s="476" t="s">
        <v>438</v>
      </c>
      <c r="F232" s="476"/>
      <c r="G232" s="477"/>
      <c r="H232" s="476"/>
      <c r="I232" s="478">
        <f>+I168+I171+I181+I201+I215+I221+I226+I229+I230</f>
        <v>102720566.7536</v>
      </c>
      <c r="J232" s="476"/>
      <c r="K232" s="478">
        <f t="shared" ref="K232" si="163">+K201+K215+K221+K226+K229+K230+K181+K168+K171</f>
        <v>24037027</v>
      </c>
      <c r="L232" s="476"/>
      <c r="M232" s="478">
        <f t="shared" ref="M232" si="164">+M201+M215+M221+M226+M229+M230+M181+M168+M171</f>
        <v>12068178</v>
      </c>
      <c r="N232" s="476"/>
      <c r="O232" s="478">
        <f t="shared" ref="O232" si="165">+O201+O215+O221+O226+O229+O230+O181+O168+O171</f>
        <v>3177155</v>
      </c>
      <c r="P232" s="476"/>
      <c r="Q232" s="478">
        <f t="shared" ref="Q232" si="166">+Q201+Q215+Q221+Q226+Q229+Q230+Q181+Q168+Q171</f>
        <v>3127825</v>
      </c>
      <c r="R232" s="476"/>
      <c r="S232" s="478">
        <f t="shared" ref="S232" si="167">+S201+S215+S221+S226+S229+S230+S181+S168+S171</f>
        <v>2916933</v>
      </c>
      <c r="T232" s="476"/>
      <c r="U232" s="478">
        <f t="shared" ref="U232" si="168">+U201+U215+U221+U226+U229+U230+U181+U168+U171</f>
        <v>1391937</v>
      </c>
      <c r="V232" s="476"/>
      <c r="W232" s="478">
        <f t="shared" ref="W232" si="169">+W201+W215+W221+W226+W229+W230+W181+W168+W171</f>
        <v>44868656</v>
      </c>
      <c r="X232" s="476"/>
      <c r="Y232" s="478">
        <f t="shared" ref="Y232" si="170">+Y201+Y215+Y221+Y226+Y229+Y230+Y181+Y168+Y171</f>
        <v>9152046</v>
      </c>
      <c r="Z232" s="476"/>
      <c r="AA232" s="478">
        <f t="shared" ref="AA232" si="171">+AA201+AA215+AA221+AA226+AA229+AA230+AA181+AA168+AA171</f>
        <v>906725</v>
      </c>
      <c r="AB232" s="476"/>
      <c r="AC232" s="478">
        <f t="shared" ref="AC232" si="172">+AC201+AC215+AC221+AC226+AC229+AC230+AC181+AC168+AC171</f>
        <v>636670</v>
      </c>
      <c r="AD232" s="476"/>
      <c r="AE232" s="478">
        <f t="shared" ref="AE232" si="173">+AE201+AE215+AE221+AE226+AE229+AE230+AE181+AE168+AE171</f>
        <v>109637</v>
      </c>
      <c r="AF232" s="476"/>
      <c r="AG232" s="478">
        <f t="shared" ref="AG232" si="174">+AG201+AG215+AG221+AG226+AG229+AG230+AG181+AG168+AG171</f>
        <v>327778</v>
      </c>
      <c r="AH232" s="27"/>
      <c r="AI232" s="157">
        <f>SUM(K232:AG232)-I232</f>
        <v>0.24639999866485596</v>
      </c>
    </row>
    <row r="233" spans="1:41" s="47" customFormat="1" ht="15.75">
      <c r="A233" s="155">
        <f>+I232-A232</f>
        <v>-1433.2463999986649</v>
      </c>
      <c r="B233" s="149"/>
      <c r="C233" s="149"/>
      <c r="D233" s="149"/>
      <c r="E233" s="480"/>
      <c r="F233" s="222"/>
      <c r="G233" s="261"/>
      <c r="H233" s="222"/>
      <c r="I233" s="285"/>
      <c r="J233" s="149"/>
      <c r="K233" s="156"/>
      <c r="L233" s="149"/>
      <c r="M233" s="156"/>
      <c r="N233" s="156"/>
      <c r="O233" s="156"/>
      <c r="P233" s="156"/>
      <c r="Q233" s="156"/>
      <c r="R233" s="156"/>
      <c r="S233" s="155"/>
      <c r="T233" s="155"/>
      <c r="U233" s="155"/>
      <c r="V233" s="149"/>
      <c r="W233" s="156"/>
      <c r="X233" s="156"/>
      <c r="Y233" s="156"/>
      <c r="Z233" s="155"/>
      <c r="AA233" s="155"/>
      <c r="AB233" s="155"/>
      <c r="AC233" s="156"/>
      <c r="AD233" s="149"/>
      <c r="AE233" s="156"/>
      <c r="AF233" s="149"/>
      <c r="AG233" s="156"/>
      <c r="AH233" s="156"/>
      <c r="AI233" s="157"/>
      <c r="AJ233" s="149"/>
      <c r="AK233" s="149"/>
    </row>
    <row r="234" spans="1:41">
      <c r="E234" s="222"/>
      <c r="F234" s="222"/>
      <c r="G234" s="261"/>
      <c r="H234" s="222"/>
      <c r="I234" s="28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D234" s="155"/>
      <c r="AF234" s="155"/>
      <c r="AI234" s="157">
        <f t="shared" ref="AI234:AI256" si="175">SUM(K234:AG234)-I234</f>
        <v>0</v>
      </c>
    </row>
    <row r="235" spans="1:41" ht="15.75">
      <c r="B235" s="165"/>
      <c r="C235" s="27" t="s">
        <v>246</v>
      </c>
      <c r="E235" s="222"/>
      <c r="F235" s="222"/>
      <c r="G235" s="261"/>
      <c r="H235" s="222"/>
      <c r="I235" s="28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D235" s="155"/>
      <c r="AF235" s="155"/>
      <c r="AI235" s="157">
        <f t="shared" si="175"/>
        <v>0</v>
      </c>
    </row>
    <row r="236" spans="1:41">
      <c r="B236" s="165">
        <f>+Linkin!J206</f>
        <v>0</v>
      </c>
      <c r="C236" s="409">
        <v>408.1</v>
      </c>
      <c r="E236" s="222" t="s">
        <v>299</v>
      </c>
      <c r="F236" s="222"/>
      <c r="G236" s="261">
        <v>15</v>
      </c>
      <c r="H236" s="222"/>
      <c r="I236" s="397">
        <f>+Linkin!H131</f>
        <v>0</v>
      </c>
      <c r="K236" s="156">
        <f>ROUND(VLOOKUP($G236,factors,+K$376)*$I236,0)</f>
        <v>0</v>
      </c>
      <c r="M236" s="156">
        <f t="shared" ref="M236:M241" si="176">ROUND(VLOOKUP($G236,factors,+M$376)*$I236,0)</f>
        <v>0</v>
      </c>
      <c r="N236" s="156"/>
      <c r="O236" s="156">
        <f t="shared" ref="O236:O241" si="177">ROUND(VLOOKUP($G236,factors,+O$376)*$I236,0)</f>
        <v>0</v>
      </c>
      <c r="P236" s="156"/>
      <c r="Q236" s="156">
        <f t="shared" ref="Q236:Q241" si="178">ROUND(VLOOKUP($G236,factors,+Q$376)*$I236,0)</f>
        <v>0</v>
      </c>
      <c r="R236" s="156"/>
      <c r="S236" s="155">
        <f t="shared" ref="S236:S241" si="179">ROUND(VLOOKUP($G236,factors,+S$376)*$I236,0)</f>
        <v>0</v>
      </c>
      <c r="T236" s="155"/>
      <c r="U236" s="155">
        <f t="shared" ref="U236:U241" si="180">ROUND(VLOOKUP($G236,factors,+U$376)*$I236,0)</f>
        <v>0</v>
      </c>
      <c r="V236" s="155"/>
      <c r="W236" s="155">
        <f t="shared" ref="W236:W241" si="181">ROUND(VLOOKUP($G236,factors,+W$376)*$I236,0)</f>
        <v>0</v>
      </c>
      <c r="X236" s="155"/>
      <c r="Y236" s="155">
        <f t="shared" ref="Y236:Y241" si="182">ROUND(VLOOKUP($G236,factors,+Y$376)*$I236,0)</f>
        <v>0</v>
      </c>
      <c r="Z236" s="155"/>
      <c r="AA236" s="155">
        <f t="shared" ref="AA236:AA241" si="183">ROUND(VLOOKUP($G236,factors,+AA$376)*$I236,0)</f>
        <v>0</v>
      </c>
      <c r="AB236" s="155"/>
      <c r="AC236" s="156">
        <f t="shared" ref="AC236:AC241" si="184">ROUND(VLOOKUP($G236,factors,+AC$376)*$I236,0)</f>
        <v>0</v>
      </c>
      <c r="AD236" s="155"/>
      <c r="AE236" s="156">
        <f t="shared" ref="AE236:AE241" si="185">ROUND(VLOOKUP($G236,factors,+AE$376)*$I236,0)</f>
        <v>0</v>
      </c>
      <c r="AF236" s="155"/>
      <c r="AG236" s="156">
        <f t="shared" ref="AG236:AG241" si="186">ROUND(VLOOKUP($G236,factors,+AG$376)*$I236,0)</f>
        <v>0</v>
      </c>
      <c r="AI236" s="157">
        <f t="shared" si="175"/>
        <v>0</v>
      </c>
    </row>
    <row r="237" spans="1:41">
      <c r="B237" s="165">
        <f>+Linkin!J208</f>
        <v>0</v>
      </c>
      <c r="C237" s="409">
        <v>408.1</v>
      </c>
      <c r="E237" s="222" t="s">
        <v>384</v>
      </c>
      <c r="F237" s="222"/>
      <c r="G237" s="261">
        <v>16</v>
      </c>
      <c r="H237" s="222"/>
      <c r="I237" s="397">
        <f>+Linkin!H132</f>
        <v>703000</v>
      </c>
      <c r="K237" s="156">
        <f>ROUND(VLOOKUP($G237,factors,+K$376)*$I237,0)-1</f>
        <v>203518</v>
      </c>
      <c r="M237" s="156">
        <f t="shared" si="176"/>
        <v>91109</v>
      </c>
      <c r="N237" s="156"/>
      <c r="O237" s="156">
        <f t="shared" si="177"/>
        <v>22637</v>
      </c>
      <c r="P237" s="156"/>
      <c r="Q237" s="156">
        <f t="shared" si="178"/>
        <v>22355</v>
      </c>
      <c r="R237" s="156"/>
      <c r="S237" s="155">
        <f t="shared" si="179"/>
        <v>25519</v>
      </c>
      <c r="T237" s="155"/>
      <c r="U237" s="155">
        <f t="shared" si="180"/>
        <v>10897</v>
      </c>
      <c r="V237" s="155"/>
      <c r="W237" s="155">
        <f t="shared" si="181"/>
        <v>260813</v>
      </c>
      <c r="X237" s="155"/>
      <c r="Y237" s="155">
        <f t="shared" si="182"/>
        <v>51881</v>
      </c>
      <c r="Z237" s="155"/>
      <c r="AA237" s="155">
        <f t="shared" si="183"/>
        <v>6538</v>
      </c>
      <c r="AB237" s="155"/>
      <c r="AC237" s="156">
        <f t="shared" si="184"/>
        <v>4499</v>
      </c>
      <c r="AD237" s="155"/>
      <c r="AE237" s="156">
        <f t="shared" si="185"/>
        <v>844</v>
      </c>
      <c r="AF237" s="155"/>
      <c r="AG237" s="156">
        <f t="shared" si="186"/>
        <v>2390</v>
      </c>
      <c r="AI237" s="157">
        <f t="shared" si="175"/>
        <v>0</v>
      </c>
    </row>
    <row r="238" spans="1:41" s="47" customFormat="1">
      <c r="A238" s="149"/>
      <c r="B238" s="165">
        <f>+Linkin!J207</f>
        <v>0</v>
      </c>
      <c r="C238" s="409">
        <v>408.1</v>
      </c>
      <c r="D238" s="149"/>
      <c r="E238" s="222" t="s">
        <v>300</v>
      </c>
      <c r="F238" s="222"/>
      <c r="G238" s="261">
        <v>13</v>
      </c>
      <c r="H238" s="222"/>
      <c r="I238" s="397">
        <f>+Linkin!H133+Linkin!H134+Linkin!H135</f>
        <v>6567343</v>
      </c>
      <c r="J238" s="149"/>
      <c r="K238" s="156">
        <f>ROUND(VLOOKUP($G238,factors,+K$376)*$I238,0)</f>
        <v>1285886</v>
      </c>
      <c r="L238" s="149"/>
      <c r="M238" s="156">
        <f t="shared" si="176"/>
        <v>581210</v>
      </c>
      <c r="N238" s="156"/>
      <c r="O238" s="156">
        <f t="shared" si="177"/>
        <v>149735</v>
      </c>
      <c r="P238" s="156"/>
      <c r="Q238" s="156">
        <f t="shared" si="178"/>
        <v>148422</v>
      </c>
      <c r="R238" s="156"/>
      <c r="S238" s="155">
        <f t="shared" si="179"/>
        <v>282396</v>
      </c>
      <c r="T238" s="155"/>
      <c r="U238" s="155">
        <f t="shared" si="180"/>
        <v>95883</v>
      </c>
      <c r="V238" s="155"/>
      <c r="W238" s="155">
        <f t="shared" si="181"/>
        <v>3112264</v>
      </c>
      <c r="X238" s="155"/>
      <c r="Y238" s="155">
        <f t="shared" si="182"/>
        <v>674466</v>
      </c>
      <c r="Z238" s="155"/>
      <c r="AA238" s="155">
        <f t="shared" si="183"/>
        <v>111645</v>
      </c>
      <c r="AB238" s="155"/>
      <c r="AC238" s="156">
        <f t="shared" si="184"/>
        <v>70271</v>
      </c>
      <c r="AD238" s="155"/>
      <c r="AE238" s="156">
        <f t="shared" si="185"/>
        <v>13791</v>
      </c>
      <c r="AF238" s="155"/>
      <c r="AG238" s="156">
        <f t="shared" si="186"/>
        <v>41374</v>
      </c>
      <c r="AH238" s="149"/>
      <c r="AI238" s="157">
        <f t="shared" si="175"/>
        <v>0</v>
      </c>
      <c r="AJ238" s="149"/>
      <c r="AK238" s="149"/>
      <c r="AL238"/>
      <c r="AM238"/>
      <c r="AN238"/>
      <c r="AO238"/>
    </row>
    <row r="239" spans="1:41" s="47" customFormat="1">
      <c r="A239" s="149"/>
      <c r="B239" s="165"/>
      <c r="C239" s="409">
        <v>408.1</v>
      </c>
      <c r="D239" s="149"/>
      <c r="E239" s="222" t="s">
        <v>385</v>
      </c>
      <c r="F239" s="222"/>
      <c r="G239" s="261">
        <v>16</v>
      </c>
      <c r="H239" s="222"/>
      <c r="I239" s="397">
        <f>+Linkin!H136</f>
        <v>3012000</v>
      </c>
      <c r="J239" s="149"/>
      <c r="K239" s="156">
        <f>ROUND(VLOOKUP($G239,factors,+K$376)*$I239,0)</f>
        <v>871974</v>
      </c>
      <c r="L239" s="149"/>
      <c r="M239" s="156">
        <f t="shared" si="176"/>
        <v>390355</v>
      </c>
      <c r="N239" s="156"/>
      <c r="O239" s="156">
        <f t="shared" si="177"/>
        <v>96986</v>
      </c>
      <c r="P239" s="156"/>
      <c r="Q239" s="156">
        <f t="shared" si="178"/>
        <v>95782</v>
      </c>
      <c r="R239" s="156"/>
      <c r="S239" s="155">
        <f t="shared" si="179"/>
        <v>109336</v>
      </c>
      <c r="T239" s="155"/>
      <c r="U239" s="155">
        <f t="shared" si="180"/>
        <v>46686</v>
      </c>
      <c r="V239" s="155"/>
      <c r="W239" s="155">
        <f t="shared" si="181"/>
        <v>1117452</v>
      </c>
      <c r="X239" s="155"/>
      <c r="Y239" s="155">
        <f t="shared" si="182"/>
        <v>222286</v>
      </c>
      <c r="Z239" s="155"/>
      <c r="AA239" s="155">
        <f t="shared" si="183"/>
        <v>28012</v>
      </c>
      <c r="AB239" s="155"/>
      <c r="AC239" s="156">
        <f t="shared" si="184"/>
        <v>19277</v>
      </c>
      <c r="AD239" s="155"/>
      <c r="AE239" s="156">
        <f t="shared" si="185"/>
        <v>3614</v>
      </c>
      <c r="AF239" s="155"/>
      <c r="AG239" s="156">
        <f t="shared" si="186"/>
        <v>10241</v>
      </c>
      <c r="AH239" s="149"/>
      <c r="AI239" s="157">
        <f t="shared" si="175"/>
        <v>1</v>
      </c>
      <c r="AJ239" s="149"/>
      <c r="AK239" s="149"/>
      <c r="AL239"/>
      <c r="AM239"/>
      <c r="AN239"/>
      <c r="AO239"/>
    </row>
    <row r="240" spans="1:41" s="29" customFormat="1">
      <c r="A240" s="150"/>
      <c r="B240" s="284">
        <f>+Linkin!J205</f>
        <v>0</v>
      </c>
      <c r="C240" s="410">
        <v>408.1</v>
      </c>
      <c r="D240" s="150"/>
      <c r="E240" s="246" t="s">
        <v>301</v>
      </c>
      <c r="F240" s="246"/>
      <c r="G240" s="395">
        <v>15</v>
      </c>
      <c r="H240" s="246"/>
      <c r="I240" s="397">
        <f>+Linkin!H130</f>
        <v>746000</v>
      </c>
      <c r="J240" s="150"/>
      <c r="K240" s="163">
        <f>ROUND(VLOOKUP($G240,factors,+K$376)*$I240,0)</f>
        <v>232379</v>
      </c>
      <c r="L240" s="150"/>
      <c r="M240" s="162">
        <f t="shared" si="176"/>
        <v>123015</v>
      </c>
      <c r="N240" s="162"/>
      <c r="O240" s="162">
        <f t="shared" si="177"/>
        <v>32078</v>
      </c>
      <c r="P240" s="162"/>
      <c r="Q240" s="162">
        <f t="shared" si="178"/>
        <v>31556</v>
      </c>
      <c r="R240" s="162"/>
      <c r="S240" s="162">
        <f t="shared" si="179"/>
        <v>27304</v>
      </c>
      <c r="T240" s="162"/>
      <c r="U240" s="155">
        <f t="shared" si="180"/>
        <v>13577</v>
      </c>
      <c r="V240" s="162"/>
      <c r="W240" s="162">
        <f t="shared" si="181"/>
        <v>229395</v>
      </c>
      <c r="X240" s="162"/>
      <c r="Y240" s="162">
        <f t="shared" si="182"/>
        <v>46700</v>
      </c>
      <c r="Z240" s="162"/>
      <c r="AA240" s="162">
        <f t="shared" si="183"/>
        <v>4551</v>
      </c>
      <c r="AB240" s="162"/>
      <c r="AC240" s="162">
        <f t="shared" si="184"/>
        <v>3282</v>
      </c>
      <c r="AD240" s="162"/>
      <c r="AE240" s="162">
        <f t="shared" si="185"/>
        <v>522</v>
      </c>
      <c r="AF240" s="162"/>
      <c r="AG240" s="162">
        <f t="shared" si="186"/>
        <v>1641</v>
      </c>
      <c r="AH240" s="162"/>
      <c r="AI240" s="157">
        <f t="shared" si="175"/>
        <v>0</v>
      </c>
      <c r="AJ240" s="150"/>
      <c r="AK240" s="150"/>
    </row>
    <row r="241" spans="1:35">
      <c r="B241" s="165"/>
      <c r="C241" s="411">
        <v>408.1</v>
      </c>
      <c r="D241" s="246"/>
      <c r="E241" s="246" t="s">
        <v>414</v>
      </c>
      <c r="F241" s="222"/>
      <c r="G241" s="261">
        <v>16</v>
      </c>
      <c r="H241" s="222"/>
      <c r="I241" s="393">
        <v>0</v>
      </c>
      <c r="J241" s="222"/>
      <c r="K241" s="393">
        <f>ROUND(VLOOKUP($G241,factors,+K$376)*$I241,0)</f>
        <v>0</v>
      </c>
      <c r="L241" s="246"/>
      <c r="M241" s="161">
        <f t="shared" si="176"/>
        <v>0</v>
      </c>
      <c r="N241" s="156"/>
      <c r="O241" s="161">
        <f t="shared" si="177"/>
        <v>0</v>
      </c>
      <c r="P241" s="162"/>
      <c r="Q241" s="161">
        <f t="shared" si="178"/>
        <v>0</v>
      </c>
      <c r="R241" s="156"/>
      <c r="S241" s="160">
        <f t="shared" si="179"/>
        <v>0</v>
      </c>
      <c r="T241" s="163"/>
      <c r="U241" s="160">
        <f t="shared" si="180"/>
        <v>0</v>
      </c>
      <c r="W241" s="161">
        <f t="shared" si="181"/>
        <v>0</v>
      </c>
      <c r="X241" s="156"/>
      <c r="Y241" s="161">
        <f t="shared" si="182"/>
        <v>0</v>
      </c>
      <c r="Z241" s="155"/>
      <c r="AA241" s="160">
        <f t="shared" si="183"/>
        <v>0</v>
      </c>
      <c r="AB241" s="163"/>
      <c r="AC241" s="161">
        <f t="shared" si="184"/>
        <v>0</v>
      </c>
      <c r="AE241" s="161">
        <f t="shared" si="185"/>
        <v>0</v>
      </c>
      <c r="AG241" s="161">
        <f t="shared" si="186"/>
        <v>0</v>
      </c>
      <c r="AH241" s="162"/>
      <c r="AI241" s="157">
        <f t="shared" si="175"/>
        <v>0</v>
      </c>
    </row>
    <row r="242" spans="1:35" ht="15.75">
      <c r="B242" s="165"/>
      <c r="E242" s="476" t="s">
        <v>243</v>
      </c>
      <c r="F242" s="476"/>
      <c r="G242" s="477"/>
      <c r="H242" s="476"/>
      <c r="I242" s="478">
        <f>SUM(I236:I241)</f>
        <v>11028343</v>
      </c>
      <c r="J242" s="27"/>
      <c r="K242" s="39">
        <f t="shared" ref="K242" si="187">SUM(K236:K241)</f>
        <v>2593757</v>
      </c>
      <c r="L242" s="27"/>
      <c r="M242" s="39">
        <f t="shared" ref="M242" si="188">SUM(M236:M241)</f>
        <v>1185689</v>
      </c>
      <c r="N242" s="27"/>
      <c r="O242" s="39">
        <f t="shared" ref="O242" si="189">SUM(O236:O241)</f>
        <v>301436</v>
      </c>
      <c r="P242" s="27"/>
      <c r="Q242" s="39">
        <f t="shared" ref="Q242" si="190">SUM(Q236:Q241)</f>
        <v>298115</v>
      </c>
      <c r="R242" s="27"/>
      <c r="S242" s="39">
        <f t="shared" ref="S242:U242" si="191">SUM(S236:S241)</f>
        <v>444555</v>
      </c>
      <c r="T242" s="48"/>
      <c r="U242" s="39">
        <f t="shared" si="191"/>
        <v>167043</v>
      </c>
      <c r="V242" s="27"/>
      <c r="W242" s="39">
        <f t="shared" ref="W242" si="192">SUM(W236:W241)</f>
        <v>4719924</v>
      </c>
      <c r="X242" s="27"/>
      <c r="Y242" s="39">
        <f t="shared" ref="Y242" si="193">SUM(Y236:Y241)</f>
        <v>995333</v>
      </c>
      <c r="Z242" s="27"/>
      <c r="AA242" s="39">
        <f t="shared" ref="AA242" si="194">SUM(AA236:AA241)</f>
        <v>150746</v>
      </c>
      <c r="AB242" s="27"/>
      <c r="AC242" s="39">
        <f t="shared" ref="AC242:AG242" si="195">SUM(AC236:AC241)</f>
        <v>97329</v>
      </c>
      <c r="AD242" s="27"/>
      <c r="AE242" s="39">
        <f t="shared" si="195"/>
        <v>18771</v>
      </c>
      <c r="AF242" s="27"/>
      <c r="AG242" s="39">
        <f t="shared" si="195"/>
        <v>55646</v>
      </c>
      <c r="AH242" s="27"/>
      <c r="AI242" s="157">
        <f t="shared" si="175"/>
        <v>1</v>
      </c>
    </row>
    <row r="243" spans="1:35">
      <c r="B243" s="155">
        <f>'Linkin (2)'!W158+Linkin!H138+Linkin!H126</f>
        <v>636694448.7536</v>
      </c>
      <c r="E243" s="222"/>
      <c r="F243" s="222"/>
      <c r="G243" s="261"/>
      <c r="H243" s="222"/>
      <c r="I243" s="285"/>
      <c r="K243" s="155"/>
      <c r="M243" s="155"/>
      <c r="O243" s="155"/>
      <c r="P243" s="155"/>
      <c r="Q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I243" s="157">
        <f t="shared" si="175"/>
        <v>0</v>
      </c>
    </row>
    <row r="244" spans="1:35" ht="15.75">
      <c r="B244" s="155">
        <f>B243-I244</f>
        <v>272114121.82356387</v>
      </c>
      <c r="E244" s="476" t="s">
        <v>244</v>
      </c>
      <c r="F244" s="476"/>
      <c r="G244" s="488"/>
      <c r="H244" s="476"/>
      <c r="I244" s="478">
        <f>+I242+I232+I152</f>
        <v>364580326.93003613</v>
      </c>
      <c r="J244" s="27"/>
      <c r="K244" s="39">
        <f>+K242+K232+K152+K233</f>
        <v>100322990.98733948</v>
      </c>
      <c r="L244" s="27"/>
      <c r="M244" s="39">
        <f>+M242+M232+M152+M233</f>
        <v>38742432.228214502</v>
      </c>
      <c r="N244" s="27"/>
      <c r="O244" s="39">
        <f>+O242+O232+O152+O233</f>
        <v>9162057.2038211748</v>
      </c>
      <c r="P244" s="27"/>
      <c r="Q244" s="39">
        <f>+Q242+Q232+Q152+Q233</f>
        <v>9060031.1852987446</v>
      </c>
      <c r="R244" s="27"/>
      <c r="S244" s="39">
        <f>+S242+S232+S152+S233</f>
        <v>13161787</v>
      </c>
      <c r="T244" s="48"/>
      <c r="U244" s="39">
        <f>+U242+U232+U152+U233</f>
        <v>5016359</v>
      </c>
      <c r="V244" s="27"/>
      <c r="W244" s="39">
        <f>+W242+W232+W152+W233</f>
        <v>150448122.65504283</v>
      </c>
      <c r="X244" s="27"/>
      <c r="Y244" s="39">
        <f>+Y242+Y232+Y152+Y233</f>
        <v>29618258.731565014</v>
      </c>
      <c r="Z244" s="27"/>
      <c r="AA244" s="39">
        <f>+AA242+AA232+AA152+AA233</f>
        <v>4164713</v>
      </c>
      <c r="AB244" s="27"/>
      <c r="AC244" s="39">
        <f>+AC242+AC232+AC152+AC233</f>
        <v>2805526</v>
      </c>
      <c r="AD244" s="27"/>
      <c r="AE244" s="39">
        <f>+AE242+AE232+AE152+AE233</f>
        <v>549074</v>
      </c>
      <c r="AF244" s="27"/>
      <c r="AG244" s="39">
        <f>+AG242+AG232+AG152+AG233</f>
        <v>1528971</v>
      </c>
      <c r="AH244" s="27"/>
      <c r="AI244" s="157">
        <f t="shared" si="175"/>
        <v>-3.9387543797492981</v>
      </c>
    </row>
    <row r="245" spans="1:35" ht="15.75">
      <c r="A245" s="437" t="s">
        <v>554</v>
      </c>
      <c r="B245" s="437" t="s">
        <v>555</v>
      </c>
      <c r="E245" s="222"/>
      <c r="F245" s="222"/>
      <c r="G245" s="261"/>
      <c r="H245" s="222"/>
      <c r="I245" s="262"/>
      <c r="AI245" s="157">
        <f t="shared" si="175"/>
        <v>0</v>
      </c>
    </row>
    <row r="246" spans="1:35" ht="15.75">
      <c r="A246" s="155">
        <v>23831.7895609072</v>
      </c>
      <c r="B246" s="155">
        <v>44094</v>
      </c>
      <c r="C246" s="27" t="s">
        <v>247</v>
      </c>
      <c r="E246" s="222"/>
      <c r="F246" s="222"/>
      <c r="G246" s="261">
        <v>15</v>
      </c>
      <c r="H246" s="222"/>
      <c r="I246" s="262">
        <f>IF(ROR!C2=2,+B246*1000,A246*1000)</f>
        <v>44094000</v>
      </c>
      <c r="K246" s="156">
        <f>ROUND(VLOOKUP($G246,factors,+K$376)*$I246,0)+1</f>
        <v>13735282</v>
      </c>
      <c r="M246" s="156">
        <f>ROUND(VLOOKUP($G246,factors,+M$376)*$I246,0)</f>
        <v>7271101</v>
      </c>
      <c r="N246" s="156"/>
      <c r="O246" s="156">
        <f>ROUND(VLOOKUP($G246,factors,+O$376)*$I246,0)</f>
        <v>1896042</v>
      </c>
      <c r="P246" s="156"/>
      <c r="Q246" s="156">
        <f>ROUND(VLOOKUP($G246,factors,+Q$376)*$I246,0)</f>
        <v>1865176</v>
      </c>
      <c r="R246" s="156"/>
      <c r="S246" s="156">
        <f>ROUND(VLOOKUP($G246,factors,+S$376)*$I246,0)</f>
        <v>1613840</v>
      </c>
      <c r="T246" s="156"/>
      <c r="U246" s="156">
        <f>ROUND(VLOOKUP($G246,factors,+U$376)*$I246,0)</f>
        <v>802511</v>
      </c>
      <c r="V246" s="156"/>
      <c r="W246" s="156">
        <f>ROUND(VLOOKUP($G246,factors,+W$376)*$I246,0)</f>
        <v>13558905</v>
      </c>
      <c r="X246" s="156"/>
      <c r="Y246" s="156">
        <f>ROUND(VLOOKUP($G246,factors,+Y$376)*$I246,0)</f>
        <v>2760284</v>
      </c>
      <c r="Z246" s="156"/>
      <c r="AA246" s="156">
        <f>ROUND(VLOOKUP($G246,factors,+AA$376)*$I246,0)</f>
        <v>268973</v>
      </c>
      <c r="AB246" s="156"/>
      <c r="AC246" s="156">
        <f>ROUND(VLOOKUP($G246,factors,+AC$376)*$I246,0)</f>
        <v>194014</v>
      </c>
      <c r="AD246" s="156"/>
      <c r="AE246" s="156">
        <f>ROUND(VLOOKUP($G246,factors,+AE$376)*$I246,0)</f>
        <v>30866</v>
      </c>
      <c r="AF246" s="156"/>
      <c r="AG246" s="156">
        <f>ROUND(VLOOKUP($G246,factors,+AG$376)*$I246,0)</f>
        <v>97007</v>
      </c>
      <c r="AI246" s="157">
        <f t="shared" si="175"/>
        <v>1</v>
      </c>
    </row>
    <row r="247" spans="1:35">
      <c r="A247" s="155"/>
      <c r="B247" s="155"/>
      <c r="E247" s="222"/>
      <c r="F247" s="222"/>
      <c r="G247" s="261"/>
      <c r="H247" s="222"/>
      <c r="I247" s="262"/>
      <c r="AI247" s="157">
        <f t="shared" si="175"/>
        <v>0</v>
      </c>
    </row>
    <row r="248" spans="1:35" ht="15.75">
      <c r="A248" s="155">
        <v>146543.35763726299</v>
      </c>
      <c r="B248" s="155">
        <v>196413</v>
      </c>
      <c r="C248" s="27" t="s">
        <v>248</v>
      </c>
      <c r="E248" s="222"/>
      <c r="F248" s="222"/>
      <c r="G248" s="261">
        <v>15</v>
      </c>
      <c r="H248" s="222"/>
      <c r="I248" s="485">
        <f>IF(ROR!C2=2,+B248*1000,A248*1000)</f>
        <v>196413000</v>
      </c>
      <c r="K248" s="160">
        <f>ROUND(VLOOKUP($G248,factors,+K$376)*$I248,0)</f>
        <v>61182650</v>
      </c>
      <c r="M248" s="160">
        <f>ROUND(VLOOKUP($G248,factors,+M$376)*$I248,0)</f>
        <v>32388504</v>
      </c>
      <c r="O248" s="160">
        <f>ROUND(VLOOKUP($G248,factors,+O$376)*$I248,0)</f>
        <v>8445759</v>
      </c>
      <c r="P248" s="163"/>
      <c r="Q248" s="160">
        <f>ROUND(VLOOKUP($G248,factors,+Q$376)*$I248,0)</f>
        <v>8308270</v>
      </c>
      <c r="S248" s="160">
        <f>ROUND(VLOOKUP($G248,factors,+S$376)*$I248,0)</f>
        <v>7188716</v>
      </c>
      <c r="T248" s="163"/>
      <c r="U248" s="160">
        <f>ROUND(VLOOKUP($G248,factors,+U$376)*$I248,0)</f>
        <v>3574717</v>
      </c>
      <c r="W248" s="160">
        <f>ROUND(VLOOKUP($G248,factors,+W$376)*$I248,0)</f>
        <v>60396998</v>
      </c>
      <c r="Y248" s="160">
        <f>ROUND(VLOOKUP($G248,factors,+Y$376)*$I248,0)</f>
        <v>12295454</v>
      </c>
      <c r="AA248" s="160">
        <f>ROUND(VLOOKUP($G248,factors,+AA$376)*$I248,0)</f>
        <v>1198119</v>
      </c>
      <c r="AB248" s="163"/>
      <c r="AC248" s="160">
        <f>ROUND(VLOOKUP($G248,factors,+AC$376)*$I248,0)</f>
        <v>864217</v>
      </c>
      <c r="AE248" s="160">
        <f>ROUND(VLOOKUP($G248,factors,+AE$376)*$I248,0)</f>
        <v>137489</v>
      </c>
      <c r="AG248" s="160">
        <f>ROUND(VLOOKUP($G248,factors,+AG$376)*$I248,0)</f>
        <v>432109</v>
      </c>
      <c r="AI248" s="157">
        <f t="shared" si="175"/>
        <v>2</v>
      </c>
    </row>
    <row r="249" spans="1:35">
      <c r="E249" s="222"/>
      <c r="F249" s="222"/>
      <c r="G249" s="261"/>
      <c r="H249" s="222"/>
      <c r="I249" s="397"/>
      <c r="AI249" s="157">
        <f t="shared" si="175"/>
        <v>0</v>
      </c>
    </row>
    <row r="250" spans="1:35">
      <c r="E250" s="222"/>
      <c r="F250" s="222"/>
      <c r="G250" s="261"/>
      <c r="H250" s="222"/>
      <c r="I250" s="285"/>
      <c r="AI250" s="157">
        <f t="shared" si="175"/>
        <v>0</v>
      </c>
    </row>
    <row r="251" spans="1:35" ht="15.75">
      <c r="B251" s="154"/>
      <c r="C251" s="27" t="s">
        <v>249</v>
      </c>
      <c r="E251" s="476"/>
      <c r="F251" s="476"/>
      <c r="G251" s="477"/>
      <c r="H251" s="476"/>
      <c r="I251" s="478">
        <f>SUM(I244:I248)</f>
        <v>605087326.93003607</v>
      </c>
      <c r="J251" s="27"/>
      <c r="K251" s="39">
        <f>SUM(K244:K248)</f>
        <v>175240922.9873395</v>
      </c>
      <c r="L251" s="27"/>
      <c r="M251" s="39">
        <f>SUM(M244:M248)</f>
        <v>78402037.228214502</v>
      </c>
      <c r="N251" s="27"/>
      <c r="O251" s="39">
        <f>SUM(O244:O248)</f>
        <v>19503858.203821175</v>
      </c>
      <c r="P251" s="48"/>
      <c r="Q251" s="39">
        <f>SUM(Q244:Q248)</f>
        <v>19233477.185298745</v>
      </c>
      <c r="R251" s="27"/>
      <c r="S251" s="39">
        <f>SUM(S244:S248)</f>
        <v>21964343</v>
      </c>
      <c r="T251" s="48"/>
      <c r="U251" s="39">
        <f>SUM(U244:U248)</f>
        <v>9393587</v>
      </c>
      <c r="V251" s="27"/>
      <c r="W251" s="39">
        <f>SUM(W244:W248)</f>
        <v>224404025.65504283</v>
      </c>
      <c r="X251" s="27"/>
      <c r="Y251" s="39">
        <f>SUM(Y244:Y248)</f>
        <v>44673996.731565014</v>
      </c>
      <c r="Z251" s="27"/>
      <c r="AA251" s="39">
        <f>SUM(AA244:AA248)</f>
        <v>5631805</v>
      </c>
      <c r="AB251" s="48"/>
      <c r="AC251" s="39">
        <f>SUM(AC244:AC248)</f>
        <v>3863757</v>
      </c>
      <c r="AD251" s="27"/>
      <c r="AE251" s="39">
        <f t="shared" ref="AE251" si="196">SUM(AE244:AE248)</f>
        <v>717429</v>
      </c>
      <c r="AF251" s="27"/>
      <c r="AG251" s="39">
        <f t="shared" ref="AG251" si="197">SUM(AG244:AG248)</f>
        <v>2058087</v>
      </c>
      <c r="AH251" s="27"/>
      <c r="AI251" s="157">
        <f t="shared" si="175"/>
        <v>-0.93875432014465332</v>
      </c>
    </row>
    <row r="252" spans="1:35">
      <c r="E252" s="222"/>
      <c r="F252" s="222"/>
      <c r="G252" s="261"/>
      <c r="H252" s="222"/>
      <c r="I252" s="285"/>
      <c r="AI252" s="157">
        <f t="shared" si="175"/>
        <v>0</v>
      </c>
    </row>
    <row r="253" spans="1:35" ht="15.75">
      <c r="C253" s="27" t="s">
        <v>271</v>
      </c>
      <c r="E253" s="222"/>
      <c r="F253" s="222"/>
      <c r="G253" s="261"/>
      <c r="H253" s="222"/>
      <c r="I253" s="397"/>
      <c r="K253" s="162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I253" s="157">
        <f t="shared" si="175"/>
        <v>0</v>
      </c>
    </row>
    <row r="254" spans="1:35">
      <c r="A254" s="893">
        <v>0</v>
      </c>
      <c r="B254" s="149">
        <v>0</v>
      </c>
      <c r="E254" s="260" t="s">
        <v>433</v>
      </c>
      <c r="F254" s="222"/>
      <c r="G254" s="392" t="s">
        <v>398</v>
      </c>
      <c r="H254" s="246"/>
      <c r="I254" s="484">
        <f>B254</f>
        <v>0</v>
      </c>
      <c r="J254" s="269"/>
      <c r="K254" s="156">
        <f>ROUND(VLOOKUP($G254,factors,+K$376)*$I254,0)</f>
        <v>0</v>
      </c>
      <c r="M254" s="156">
        <f>ROUND(VLOOKUP($G254,factors,+M$376)*$I254,0)</f>
        <v>0</v>
      </c>
      <c r="N254" s="156"/>
      <c r="O254" s="156">
        <f>ROUND(VLOOKUP($G254,factors,+O$376)*$I254,0)</f>
        <v>0</v>
      </c>
      <c r="P254" s="156"/>
      <c r="Q254" s="156">
        <f>ROUND(VLOOKUP($G254,factors,+Q$376)*$I254,0)</f>
        <v>0</v>
      </c>
      <c r="R254" s="156"/>
      <c r="S254" s="155">
        <f>ROUND(VLOOKUP($G254,factors,+S$376)*$I254,0)</f>
        <v>0</v>
      </c>
      <c r="T254" s="155"/>
      <c r="U254" s="155">
        <f>ROUND(VLOOKUP($G254,factors,+U$376)*$I254,0)</f>
        <v>0</v>
      </c>
      <c r="V254" s="155"/>
      <c r="W254" s="155">
        <f>ROUND(VLOOKUP($G254,factors,+W$376)*$I254,0)</f>
        <v>0</v>
      </c>
      <c r="X254" s="155"/>
      <c r="Y254" s="155">
        <f>ROUND(VLOOKUP($G254,factors,+Y$376)*$I254,0)</f>
        <v>0</v>
      </c>
      <c r="Z254" s="155"/>
      <c r="AA254" s="155">
        <f>ROUND(VLOOKUP($G254,factors,+AA$376)*$I254,0)</f>
        <v>0</v>
      </c>
      <c r="AB254" s="155"/>
      <c r="AC254" s="156">
        <f>ROUND(VLOOKUP($G254,factors,+AC$376)*$I254,0)</f>
        <v>0</v>
      </c>
      <c r="AD254" s="155"/>
      <c r="AE254" s="156">
        <f>ROUND(VLOOKUP($G254,factors,+AE$376)*$I254,0)</f>
        <v>0</v>
      </c>
      <c r="AF254" s="155"/>
      <c r="AG254" s="156">
        <f>ROUND(VLOOKUP($G254,factors,+AG$376)*$I254,0)</f>
        <v>0</v>
      </c>
      <c r="AI254" s="157">
        <f t="shared" si="175"/>
        <v>0</v>
      </c>
    </row>
    <row r="255" spans="1:35">
      <c r="A255" s="272">
        <v>306</v>
      </c>
      <c r="E255" s="260" t="s">
        <v>540</v>
      </c>
      <c r="F255" s="222"/>
      <c r="G255" s="392">
        <v>12</v>
      </c>
      <c r="H255" s="246"/>
      <c r="I255" s="484">
        <f t="shared" ref="I255:I257" si="198">+A255*1000</f>
        <v>306000</v>
      </c>
      <c r="J255" s="269"/>
      <c r="K255" s="156">
        <f>ROUND(VLOOKUP($G255,factors,+K$376)*$I255,0)</f>
        <v>90362</v>
      </c>
      <c r="M255" s="156">
        <f>ROUND(VLOOKUP($G255,factors,+M$376)*$I255,0)</f>
        <v>30233</v>
      </c>
      <c r="N255" s="156"/>
      <c r="O255" s="156">
        <f>ROUND(VLOOKUP($G255,factors,+O$376)*$I255,0)</f>
        <v>7069</v>
      </c>
      <c r="P255" s="156"/>
      <c r="Q255" s="156">
        <f>ROUND(VLOOKUP($G255,factors,+Q$376)*$I255,0)</f>
        <v>7007</v>
      </c>
      <c r="R255" s="156"/>
      <c r="S255" s="155">
        <f>ROUND(VLOOKUP($G255,factors,+S$376)*$I255,0)</f>
        <v>12087</v>
      </c>
      <c r="T255" s="155"/>
      <c r="U255" s="155">
        <f>ROUND(VLOOKUP($G255,factors,+U$376)*$I255,0)</f>
        <v>4284</v>
      </c>
      <c r="V255" s="155"/>
      <c r="W255" s="155">
        <f>ROUND(VLOOKUP($G255,factors,+W$376)*$I255,0)</f>
        <v>123379</v>
      </c>
      <c r="X255" s="155"/>
      <c r="Y255" s="155">
        <f>ROUND(VLOOKUP($G255,factors,+Y$376)*$I255,0)</f>
        <v>23440</v>
      </c>
      <c r="Z255" s="155"/>
      <c r="AA255" s="155">
        <f>ROUND(VLOOKUP($G255,factors,+AA$376)*$I255,0)</f>
        <v>3733</v>
      </c>
      <c r="AB255" s="155"/>
      <c r="AC255" s="156">
        <f>ROUND(VLOOKUP($G255,factors,+AC$376)*$I255,0)</f>
        <v>2509</v>
      </c>
      <c r="AD255" s="155"/>
      <c r="AE255" s="156">
        <f>ROUND(VLOOKUP($G255,factors,+AE$376)*$I255,0)</f>
        <v>520</v>
      </c>
      <c r="AF255" s="155"/>
      <c r="AG255" s="156">
        <f>ROUND(VLOOKUP($G255,factors,+AG$376)*$I255,0)</f>
        <v>1377</v>
      </c>
      <c r="AI255" s="157">
        <f t="shared" si="175"/>
        <v>0</v>
      </c>
    </row>
    <row r="256" spans="1:35">
      <c r="A256" s="272">
        <v>4908</v>
      </c>
      <c r="E256" s="260" t="s">
        <v>539</v>
      </c>
      <c r="F256" s="222"/>
      <c r="G256" s="392">
        <v>20</v>
      </c>
      <c r="H256" s="88"/>
      <c r="I256" s="484">
        <f t="shared" si="198"/>
        <v>4908000</v>
      </c>
      <c r="J256" s="269"/>
      <c r="K256" s="156">
        <f>ROUND(VLOOKUP($G256,factors,+K$376)*$I256,0)</f>
        <v>0</v>
      </c>
      <c r="M256" s="156">
        <f>ROUND(VLOOKUP($G256,factors,+M$376)*$I256,0)</f>
        <v>0</v>
      </c>
      <c r="N256" s="156"/>
      <c r="O256" s="156">
        <f>ROUND(VLOOKUP($G256,factors,+O$376)*$I256,0)</f>
        <v>0</v>
      </c>
      <c r="P256" s="156"/>
      <c r="Q256" s="156">
        <f>ROUND(VLOOKUP($G256,factors,+Q$376)*$I256,0)</f>
        <v>0</v>
      </c>
      <c r="R256" s="156"/>
      <c r="S256" s="155">
        <f>ROUND(VLOOKUP($G256,factors,+S$376)*$I256,0)</f>
        <v>0</v>
      </c>
      <c r="T256" s="155"/>
      <c r="U256" s="155">
        <f>ROUND(VLOOKUP($G256,factors,+U$376)*$I256,0)</f>
        <v>0</v>
      </c>
      <c r="V256" s="155"/>
      <c r="W256" s="155">
        <f>ROUND(VLOOKUP($G256,factors,+W$376)*$I256,0)</f>
        <v>3266726</v>
      </c>
      <c r="X256" s="155"/>
      <c r="Y256" s="155">
        <f>ROUND(VLOOKUP($G256,factors,+Y$376)*$I256,0)</f>
        <v>1349008</v>
      </c>
      <c r="Z256" s="155"/>
      <c r="AA256" s="155">
        <f>ROUND(VLOOKUP($G256,factors,+AA$376)*$I256,0)</f>
        <v>288846</v>
      </c>
      <c r="AB256" s="155"/>
      <c r="AC256" s="156">
        <f>ROUND(VLOOKUP($G256,factors,+AC$376)*$I256,0)</f>
        <v>2312</v>
      </c>
      <c r="AD256" s="155"/>
      <c r="AE256" s="156">
        <f>ROUND(VLOOKUP($G256,factors,+AE$376)*$I256,0)</f>
        <v>79</v>
      </c>
      <c r="AF256" s="155"/>
      <c r="AG256" s="156">
        <f>ROUND(VLOOKUP($G256,factors,+AG$376)*$I256,0)</f>
        <v>1036</v>
      </c>
      <c r="AI256" s="157">
        <f t="shared" si="175"/>
        <v>7</v>
      </c>
    </row>
    <row r="257" spans="1:35">
      <c r="A257" s="272">
        <v>666</v>
      </c>
      <c r="E257" s="260" t="s">
        <v>434</v>
      </c>
      <c r="F257" s="222"/>
      <c r="G257" s="261">
        <v>16</v>
      </c>
      <c r="H257" s="246"/>
      <c r="I257" s="485">
        <f t="shared" si="198"/>
        <v>666000</v>
      </c>
      <c r="J257" s="269"/>
      <c r="K257" s="160">
        <f>ROUND(VLOOKUP($G257,factors,+K$376)*$I257,0)</f>
        <v>192807</v>
      </c>
      <c r="L257" s="150"/>
      <c r="M257" s="160">
        <f>ROUND(VLOOKUP($G257,factors,+M$376)*$I257,0)</f>
        <v>86314</v>
      </c>
      <c r="N257" s="150"/>
      <c r="O257" s="160">
        <f>ROUND(VLOOKUP($G257,factors,+O$376)*$I257,0)</f>
        <v>21445</v>
      </c>
      <c r="P257" s="150"/>
      <c r="Q257" s="160">
        <f>ROUND(VLOOKUP($G257,factors,+Q$376)*$I257,0)</f>
        <v>21179</v>
      </c>
      <c r="R257" s="150"/>
      <c r="S257" s="160">
        <f>ROUND(VLOOKUP($G257,factors,+S$376)*$I257,0)</f>
        <v>24176</v>
      </c>
      <c r="T257" s="163"/>
      <c r="U257" s="160">
        <f>ROUND(VLOOKUP($G257,factors,+U$376)*$I257,0)</f>
        <v>10323</v>
      </c>
      <c r="V257" s="150"/>
      <c r="W257" s="160">
        <f>ROUND(VLOOKUP($G257,factors,+W$376)*$I257,0)</f>
        <v>247086</v>
      </c>
      <c r="X257" s="150"/>
      <c r="Y257" s="160">
        <f>ROUND(VLOOKUP($G257,factors,+Y$376)*$I257,0)</f>
        <v>49151</v>
      </c>
      <c r="Z257" s="150"/>
      <c r="AA257" s="160">
        <f>ROUND(VLOOKUP($G257,factors,+AA$376)*$I257,0)</f>
        <v>6194</v>
      </c>
      <c r="AB257" s="150"/>
      <c r="AC257" s="160">
        <f>ROUND(VLOOKUP($G257,factors,+AC$376)*$I257,0)</f>
        <v>4262</v>
      </c>
      <c r="AD257" s="150"/>
      <c r="AE257" s="160">
        <f>ROUND(VLOOKUP($G257,factors,+AE$376)*$I257,0)</f>
        <v>799</v>
      </c>
      <c r="AF257" s="150"/>
      <c r="AG257" s="160">
        <f>ROUND(VLOOKUP($G257,factors,+AG$376)*$I257,0)</f>
        <v>2264</v>
      </c>
      <c r="AI257" s="157">
        <f t="shared" ref="AI257:AI334" si="199">SUM(K257:AG257)-I257</f>
        <v>0</v>
      </c>
    </row>
    <row r="258" spans="1:35">
      <c r="A258" s="893"/>
      <c r="E258" s="222" t="s">
        <v>16</v>
      </c>
      <c r="F258" s="222"/>
      <c r="G258" s="261"/>
      <c r="H258" s="222"/>
      <c r="I258" s="484">
        <f>SUM(I253:I257)</f>
        <v>5880000</v>
      </c>
      <c r="K258" s="163">
        <f>SUM(K253:K257)</f>
        <v>283169</v>
      </c>
      <c r="M258" s="163">
        <f>SUM(M253:M257)</f>
        <v>116547</v>
      </c>
      <c r="O258" s="163">
        <f>SUM(O253:O257)</f>
        <v>28514</v>
      </c>
      <c r="Q258" s="163">
        <f>SUM(Q253:Q257)</f>
        <v>28186</v>
      </c>
      <c r="S258" s="163">
        <f>SUM(S253:S257)</f>
        <v>36263</v>
      </c>
      <c r="T258" s="163"/>
      <c r="U258" s="163">
        <f>SUM(U253:U257)</f>
        <v>14607</v>
      </c>
      <c r="W258" s="163">
        <f>SUM(W253:W257)</f>
        <v>3637191</v>
      </c>
      <c r="Y258" s="163">
        <f>SUM(Y253:Y257)</f>
        <v>1421599</v>
      </c>
      <c r="AA258" s="163">
        <f>SUM(AA253:AA257)</f>
        <v>298773</v>
      </c>
      <c r="AC258" s="163">
        <f>SUM(AC253:AC257)</f>
        <v>9083</v>
      </c>
      <c r="AE258" s="163">
        <f>SUM(AE253:AE257)</f>
        <v>1398</v>
      </c>
      <c r="AG258" s="163">
        <f>SUM(AG253:AG257)</f>
        <v>4677</v>
      </c>
      <c r="AI258" s="157">
        <f t="shared" si="199"/>
        <v>7</v>
      </c>
    </row>
    <row r="259" spans="1:35">
      <c r="E259" s="222"/>
      <c r="F259" s="222"/>
      <c r="G259" s="261"/>
      <c r="H259" s="222"/>
      <c r="I259" s="28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I259" s="157">
        <f t="shared" si="199"/>
        <v>0</v>
      </c>
    </row>
    <row r="260" spans="1:35" ht="15.75">
      <c r="C260" s="27" t="s">
        <v>152</v>
      </c>
      <c r="E260" s="222"/>
      <c r="F260" s="222"/>
      <c r="G260" s="261"/>
      <c r="H260" s="222"/>
      <c r="I260" s="397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I260" s="157">
        <f t="shared" si="199"/>
        <v>0</v>
      </c>
    </row>
    <row r="261" spans="1:35" ht="15.75">
      <c r="B261" s="155"/>
      <c r="C261" s="27" t="s">
        <v>153</v>
      </c>
      <c r="E261" s="476"/>
      <c r="F261" s="476"/>
      <c r="G261" s="477"/>
      <c r="H261" s="476"/>
      <c r="I261" s="489">
        <f>+I251-I258</f>
        <v>599207326.93003607</v>
      </c>
      <c r="J261" s="43"/>
      <c r="K261" s="43">
        <f>+K251-K258</f>
        <v>174957753.9873395</v>
      </c>
      <c r="L261" s="43"/>
      <c r="M261" s="43">
        <f>+M251-M258</f>
        <v>78285490.228214502</v>
      </c>
      <c r="N261" s="43"/>
      <c r="O261" s="43">
        <f>+O251-O258</f>
        <v>19475344.203821175</v>
      </c>
      <c r="P261" s="43"/>
      <c r="Q261" s="43">
        <f>+Q251-Q258</f>
        <v>19205291.185298745</v>
      </c>
      <c r="R261" s="43"/>
      <c r="S261" s="43">
        <f>+S251-S258</f>
        <v>21928080</v>
      </c>
      <c r="T261" s="43"/>
      <c r="U261" s="43">
        <f>+U251-U258</f>
        <v>9378980</v>
      </c>
      <c r="V261" s="43"/>
      <c r="W261" s="43">
        <f>+W251-W258</f>
        <v>220766834.65504283</v>
      </c>
      <c r="X261" s="43"/>
      <c r="Y261" s="43">
        <f>+Y251-Y258</f>
        <v>43252397.731565014</v>
      </c>
      <c r="Z261" s="43"/>
      <c r="AA261" s="43">
        <f>+AA251-AA258</f>
        <v>5333032</v>
      </c>
      <c r="AB261" s="43"/>
      <c r="AC261" s="43">
        <f>+AC251-AC258</f>
        <v>3854674</v>
      </c>
      <c r="AD261" s="43"/>
      <c r="AE261" s="43">
        <f>+AE251-AE258</f>
        <v>716031</v>
      </c>
      <c r="AF261" s="43"/>
      <c r="AG261" s="43">
        <f>+AG251-AG258</f>
        <v>2053410</v>
      </c>
      <c r="AH261" s="27"/>
      <c r="AI261" s="157">
        <f t="shared" si="199"/>
        <v>-7.9387543201446533</v>
      </c>
    </row>
    <row r="262" spans="1:35">
      <c r="B262" s="155"/>
      <c r="E262" s="222"/>
      <c r="F262" s="222"/>
      <c r="G262" s="261"/>
      <c r="H262" s="222"/>
      <c r="I262" s="397"/>
      <c r="AI262" s="157">
        <f t="shared" si="199"/>
        <v>0</v>
      </c>
    </row>
    <row r="263" spans="1:35">
      <c r="E263" s="222"/>
      <c r="F263" s="222"/>
      <c r="G263" s="261"/>
      <c r="H263" s="222"/>
      <c r="I263" s="285"/>
      <c r="U263" s="306"/>
      <c r="AI263" s="157">
        <f t="shared" si="199"/>
        <v>0</v>
      </c>
    </row>
    <row r="264" spans="1:35">
      <c r="E264" s="222"/>
      <c r="F264" s="222"/>
      <c r="G264" s="261"/>
      <c r="H264" s="222"/>
      <c r="I264" s="285"/>
      <c r="U264" s="165"/>
      <c r="AI264" s="157">
        <f t="shared" si="199"/>
        <v>0</v>
      </c>
    </row>
    <row r="265" spans="1:35" ht="15.75">
      <c r="C265" s="27" t="s">
        <v>304</v>
      </c>
      <c r="E265" s="222"/>
      <c r="F265" s="222"/>
      <c r="G265" s="261"/>
      <c r="H265" s="222"/>
      <c r="I265" s="285"/>
      <c r="U265" s="165"/>
      <c r="AI265" s="157">
        <f t="shared" si="199"/>
        <v>0</v>
      </c>
    </row>
    <row r="266" spans="1:35" ht="6.75" customHeight="1">
      <c r="C266" s="149" t="s">
        <v>217</v>
      </c>
      <c r="E266" s="222" t="s">
        <v>218</v>
      </c>
      <c r="F266" s="222"/>
      <c r="G266" s="261"/>
      <c r="H266" s="222"/>
      <c r="I266" s="285"/>
      <c r="U266" s="165"/>
      <c r="AI266" s="157">
        <f t="shared" si="199"/>
        <v>0</v>
      </c>
    </row>
    <row r="267" spans="1:35" ht="15" customHeight="1">
      <c r="C267" s="27" t="s">
        <v>659</v>
      </c>
      <c r="E267" s="222"/>
      <c r="F267" s="222"/>
      <c r="G267" s="261"/>
      <c r="H267" s="222"/>
      <c r="I267" s="285"/>
      <c r="U267" s="165"/>
      <c r="AI267" s="157"/>
    </row>
    <row r="268" spans="1:35" ht="15" customHeight="1">
      <c r="C268" s="159">
        <v>305</v>
      </c>
      <c r="E268" s="149" t="s">
        <v>755</v>
      </c>
      <c r="F268" s="222"/>
      <c r="G268" s="261">
        <v>1</v>
      </c>
      <c r="H268" s="222"/>
      <c r="I268" s="262">
        <f>+'Linkin (2)'!O14</f>
        <v>240717</v>
      </c>
      <c r="K268" s="156">
        <f t="shared" ref="K268:K280" si="200">ROUND(VLOOKUP($G268,factors,+K$376)*$I268,0)</f>
        <v>172233</v>
      </c>
      <c r="M268" s="156">
        <f t="shared" ref="M268:M280" si="201">ROUND(VLOOKUP($G268,factors,+M$376)*$I268,0)</f>
        <v>68484</v>
      </c>
      <c r="N268" s="156"/>
      <c r="O268" s="156">
        <f t="shared" ref="O268:O280" si="202">ROUND(VLOOKUP($G268,factors,+O$376)*$I268,0)</f>
        <v>0</v>
      </c>
      <c r="P268" s="156"/>
      <c r="Q268" s="156">
        <f t="shared" ref="Q268:Q280" si="203">ROUND(VLOOKUP($G268,factors,+Q$376)*$I268,0)</f>
        <v>0</v>
      </c>
      <c r="R268" s="156"/>
      <c r="S268" s="156">
        <f t="shared" ref="S268:S280" si="204">ROUND(VLOOKUP($G268,factors,+S$376)*$I268,0)</f>
        <v>0</v>
      </c>
      <c r="T268" s="156"/>
      <c r="U268" s="165">
        <f t="shared" ref="U268:U280" si="205">ROUND(VLOOKUP($G268,factors,+U$376)*$I268,0)</f>
        <v>0</v>
      </c>
      <c r="V268" s="156"/>
      <c r="W268" s="156">
        <f t="shared" ref="W268:W280" si="206">ROUND(VLOOKUP($G268,factors,+W$376)*$I268,0)</f>
        <v>0</v>
      </c>
      <c r="X268" s="156"/>
      <c r="Y268" s="156">
        <f t="shared" ref="Y268:Y280" si="207">ROUND(VLOOKUP($G268,factors,+Y$376)*$I268,0)</f>
        <v>0</v>
      </c>
      <c r="Z268" s="156"/>
      <c r="AA268" s="156">
        <f t="shared" ref="AA268:AA280" si="208">ROUND(VLOOKUP($G268,factors,+AA$376)*$I268,0)</f>
        <v>0</v>
      </c>
      <c r="AB268" s="156"/>
      <c r="AC268" s="156">
        <f t="shared" ref="AC268:AC280" si="209">ROUND(VLOOKUP($G268,factors,+AC$376)*$I268,0)</f>
        <v>0</v>
      </c>
      <c r="AD268" s="156"/>
      <c r="AE268" s="156">
        <f t="shared" ref="AE268:AE280" si="210">ROUND(VLOOKUP($G268,factors,+AE$376)*$I268,0)</f>
        <v>0</v>
      </c>
      <c r="AF268" s="156"/>
      <c r="AG268" s="156">
        <f t="shared" ref="AG268:AG280" si="211">ROUND(VLOOKUP($G268,factors,+AG$376)*$I268,0)</f>
        <v>0</v>
      </c>
      <c r="AI268" s="157">
        <f t="shared" si="199"/>
        <v>0</v>
      </c>
    </row>
    <row r="269" spans="1:35" ht="15" customHeight="1">
      <c r="C269" s="159">
        <v>325.10000000000002</v>
      </c>
      <c r="E269" s="149" t="s">
        <v>779</v>
      </c>
      <c r="F269" s="222"/>
      <c r="G269" s="261">
        <v>1</v>
      </c>
      <c r="H269" s="222"/>
      <c r="I269" s="262">
        <f>+'Linkin (2)'!K116</f>
        <v>13029</v>
      </c>
      <c r="K269" s="156">
        <f t="shared" si="200"/>
        <v>9322</v>
      </c>
      <c r="M269" s="156">
        <f t="shared" si="201"/>
        <v>3707</v>
      </c>
      <c r="N269" s="156"/>
      <c r="O269" s="156">
        <f t="shared" si="202"/>
        <v>0</v>
      </c>
      <c r="P269" s="156"/>
      <c r="Q269" s="156">
        <f t="shared" si="203"/>
        <v>0</v>
      </c>
      <c r="R269" s="156"/>
      <c r="S269" s="156">
        <f t="shared" si="204"/>
        <v>0</v>
      </c>
      <c r="T269" s="156"/>
      <c r="U269" s="165">
        <f t="shared" si="205"/>
        <v>0</v>
      </c>
      <c r="V269" s="156"/>
      <c r="W269" s="156">
        <f t="shared" si="206"/>
        <v>0</v>
      </c>
      <c r="X269" s="156"/>
      <c r="Y269" s="156">
        <f t="shared" si="207"/>
        <v>0</v>
      </c>
      <c r="Z269" s="156"/>
      <c r="AA269" s="156">
        <f t="shared" si="208"/>
        <v>0</v>
      </c>
      <c r="AB269" s="156"/>
      <c r="AC269" s="156">
        <f t="shared" si="209"/>
        <v>0</v>
      </c>
      <c r="AD269" s="156"/>
      <c r="AE269" s="156">
        <f t="shared" si="210"/>
        <v>0</v>
      </c>
      <c r="AF269" s="156"/>
      <c r="AG269" s="156">
        <f t="shared" si="211"/>
        <v>0</v>
      </c>
      <c r="AI269" s="157">
        <f t="shared" si="199"/>
        <v>0</v>
      </c>
    </row>
    <row r="270" spans="1:35" ht="15" customHeight="1">
      <c r="C270" s="159">
        <v>325.2</v>
      </c>
      <c r="E270" s="149" t="s">
        <v>764</v>
      </c>
      <c r="F270" s="222"/>
      <c r="G270" s="261">
        <v>1</v>
      </c>
      <c r="H270" s="222"/>
      <c r="I270" s="262">
        <f>+'Linkin (2)'!O15</f>
        <v>1064</v>
      </c>
      <c r="K270" s="156">
        <f t="shared" si="200"/>
        <v>761</v>
      </c>
      <c r="M270" s="156">
        <f t="shared" si="201"/>
        <v>303</v>
      </c>
      <c r="N270" s="156"/>
      <c r="O270" s="156">
        <f t="shared" si="202"/>
        <v>0</v>
      </c>
      <c r="P270" s="156"/>
      <c r="Q270" s="156">
        <f t="shared" si="203"/>
        <v>0</v>
      </c>
      <c r="R270" s="156"/>
      <c r="S270" s="156">
        <f t="shared" si="204"/>
        <v>0</v>
      </c>
      <c r="T270" s="156"/>
      <c r="U270" s="165">
        <f t="shared" si="205"/>
        <v>0</v>
      </c>
      <c r="V270" s="156"/>
      <c r="W270" s="156">
        <f t="shared" si="206"/>
        <v>0</v>
      </c>
      <c r="X270" s="156"/>
      <c r="Y270" s="156">
        <f t="shared" si="207"/>
        <v>0</v>
      </c>
      <c r="Z270" s="156"/>
      <c r="AA270" s="156">
        <f t="shared" si="208"/>
        <v>0</v>
      </c>
      <c r="AB270" s="156"/>
      <c r="AC270" s="156">
        <f t="shared" si="209"/>
        <v>0</v>
      </c>
      <c r="AD270" s="156"/>
      <c r="AE270" s="156">
        <f t="shared" si="210"/>
        <v>0</v>
      </c>
      <c r="AF270" s="156"/>
      <c r="AG270" s="156">
        <f t="shared" si="211"/>
        <v>0</v>
      </c>
      <c r="AI270" s="157">
        <f t="shared" si="199"/>
        <v>0</v>
      </c>
    </row>
    <row r="271" spans="1:35" ht="15" customHeight="1">
      <c r="C271" s="159">
        <v>325.39999999999998</v>
      </c>
      <c r="E271" s="149" t="s">
        <v>756</v>
      </c>
      <c r="F271" s="222"/>
      <c r="G271" s="261">
        <v>1</v>
      </c>
      <c r="H271" s="222"/>
      <c r="I271" s="262">
        <f>+'Linkin (2)'!O16</f>
        <v>618</v>
      </c>
      <c r="K271" s="156">
        <f t="shared" si="200"/>
        <v>442</v>
      </c>
      <c r="M271" s="156">
        <f t="shared" si="201"/>
        <v>176</v>
      </c>
      <c r="N271" s="156"/>
      <c r="O271" s="156">
        <f t="shared" si="202"/>
        <v>0</v>
      </c>
      <c r="P271" s="156"/>
      <c r="Q271" s="156">
        <f t="shared" si="203"/>
        <v>0</v>
      </c>
      <c r="R271" s="156"/>
      <c r="S271" s="156">
        <f t="shared" si="204"/>
        <v>0</v>
      </c>
      <c r="T271" s="156"/>
      <c r="U271" s="165">
        <f t="shared" si="205"/>
        <v>0</v>
      </c>
      <c r="V271" s="156"/>
      <c r="W271" s="156">
        <f t="shared" si="206"/>
        <v>0</v>
      </c>
      <c r="X271" s="156"/>
      <c r="Y271" s="156">
        <f t="shared" si="207"/>
        <v>0</v>
      </c>
      <c r="Z271" s="156"/>
      <c r="AA271" s="156">
        <f t="shared" si="208"/>
        <v>0</v>
      </c>
      <c r="AB271" s="156"/>
      <c r="AC271" s="156">
        <f t="shared" si="209"/>
        <v>0</v>
      </c>
      <c r="AD271" s="156"/>
      <c r="AE271" s="156">
        <f t="shared" si="210"/>
        <v>0</v>
      </c>
      <c r="AF271" s="156"/>
      <c r="AG271" s="156">
        <f t="shared" si="211"/>
        <v>0</v>
      </c>
      <c r="AI271" s="157">
        <f t="shared" si="199"/>
        <v>0</v>
      </c>
    </row>
    <row r="272" spans="1:35" ht="15" customHeight="1">
      <c r="C272" s="159">
        <v>325.5</v>
      </c>
      <c r="E272" s="87" t="s">
        <v>780</v>
      </c>
      <c r="F272" s="222"/>
      <c r="G272" s="261">
        <v>1</v>
      </c>
      <c r="H272" s="222"/>
      <c r="I272" s="262">
        <f>+'Linkin (2)'!K117</f>
        <v>1134</v>
      </c>
      <c r="K272" s="156">
        <f t="shared" si="200"/>
        <v>811</v>
      </c>
      <c r="M272" s="156">
        <f t="shared" si="201"/>
        <v>323</v>
      </c>
      <c r="N272" s="156"/>
      <c r="O272" s="156">
        <f t="shared" si="202"/>
        <v>0</v>
      </c>
      <c r="P272" s="156"/>
      <c r="Q272" s="156">
        <f t="shared" si="203"/>
        <v>0</v>
      </c>
      <c r="R272" s="156"/>
      <c r="S272" s="156">
        <f t="shared" si="204"/>
        <v>0</v>
      </c>
      <c r="T272" s="156"/>
      <c r="U272" s="165">
        <f t="shared" si="205"/>
        <v>0</v>
      </c>
      <c r="V272" s="156"/>
      <c r="W272" s="156">
        <f t="shared" si="206"/>
        <v>0</v>
      </c>
      <c r="X272" s="156"/>
      <c r="Y272" s="156">
        <f t="shared" si="207"/>
        <v>0</v>
      </c>
      <c r="Z272" s="156"/>
      <c r="AA272" s="156">
        <f t="shared" si="208"/>
        <v>0</v>
      </c>
      <c r="AB272" s="156"/>
      <c r="AC272" s="156">
        <f t="shared" si="209"/>
        <v>0</v>
      </c>
      <c r="AD272" s="156"/>
      <c r="AE272" s="156">
        <f t="shared" si="210"/>
        <v>0</v>
      </c>
      <c r="AF272" s="156"/>
      <c r="AG272" s="156">
        <f t="shared" si="211"/>
        <v>0</v>
      </c>
      <c r="AI272" s="157">
        <f t="shared" si="199"/>
        <v>0</v>
      </c>
    </row>
    <row r="273" spans="3:35" ht="15" customHeight="1">
      <c r="C273" s="159">
        <v>328</v>
      </c>
      <c r="E273" s="149" t="s">
        <v>757</v>
      </c>
      <c r="F273" s="222"/>
      <c r="G273" s="261">
        <v>1</v>
      </c>
      <c r="H273" s="222"/>
      <c r="I273" s="262">
        <f>+'Linkin (2)'!O17</f>
        <v>0</v>
      </c>
      <c r="K273" s="156">
        <f t="shared" si="200"/>
        <v>0</v>
      </c>
      <c r="M273" s="156">
        <f t="shared" si="201"/>
        <v>0</v>
      </c>
      <c r="N273" s="156"/>
      <c r="O273" s="156">
        <f t="shared" si="202"/>
        <v>0</v>
      </c>
      <c r="P273" s="156"/>
      <c r="Q273" s="156">
        <f t="shared" si="203"/>
        <v>0</v>
      </c>
      <c r="R273" s="156"/>
      <c r="S273" s="156">
        <f t="shared" si="204"/>
        <v>0</v>
      </c>
      <c r="T273" s="156"/>
      <c r="U273" s="165">
        <f t="shared" si="205"/>
        <v>0</v>
      </c>
      <c r="V273" s="156"/>
      <c r="W273" s="156">
        <f t="shared" si="206"/>
        <v>0</v>
      </c>
      <c r="X273" s="156"/>
      <c r="Y273" s="156">
        <f t="shared" si="207"/>
        <v>0</v>
      </c>
      <c r="Z273" s="156"/>
      <c r="AA273" s="156">
        <f t="shared" si="208"/>
        <v>0</v>
      </c>
      <c r="AB273" s="156"/>
      <c r="AC273" s="156">
        <f t="shared" si="209"/>
        <v>0</v>
      </c>
      <c r="AD273" s="156"/>
      <c r="AE273" s="156">
        <f t="shared" si="210"/>
        <v>0</v>
      </c>
      <c r="AF273" s="156"/>
      <c r="AG273" s="156">
        <f t="shared" si="211"/>
        <v>0</v>
      </c>
      <c r="AI273" s="157">
        <f t="shared" si="199"/>
        <v>0</v>
      </c>
    </row>
    <row r="274" spans="3:35" ht="15" customHeight="1">
      <c r="C274" s="159">
        <v>329</v>
      </c>
      <c r="E274" s="149" t="s">
        <v>758</v>
      </c>
      <c r="F274" s="222"/>
      <c r="G274" s="261">
        <v>1</v>
      </c>
      <c r="H274" s="222"/>
      <c r="I274" s="262">
        <f>+'Linkin (2)'!O18</f>
        <v>2</v>
      </c>
      <c r="K274" s="156">
        <f t="shared" si="200"/>
        <v>1</v>
      </c>
      <c r="M274" s="156">
        <f t="shared" si="201"/>
        <v>1</v>
      </c>
      <c r="N274" s="156"/>
      <c r="O274" s="156">
        <f t="shared" si="202"/>
        <v>0</v>
      </c>
      <c r="P274" s="156"/>
      <c r="Q274" s="156">
        <f t="shared" si="203"/>
        <v>0</v>
      </c>
      <c r="R274" s="156"/>
      <c r="S274" s="156">
        <f t="shared" si="204"/>
        <v>0</v>
      </c>
      <c r="T274" s="156"/>
      <c r="U274" s="165">
        <f t="shared" si="205"/>
        <v>0</v>
      </c>
      <c r="V274" s="156"/>
      <c r="W274" s="156">
        <f t="shared" si="206"/>
        <v>0</v>
      </c>
      <c r="X274" s="156"/>
      <c r="Y274" s="156">
        <f t="shared" si="207"/>
        <v>0</v>
      </c>
      <c r="Z274" s="156"/>
      <c r="AA274" s="156">
        <f t="shared" si="208"/>
        <v>0</v>
      </c>
      <c r="AB274" s="156"/>
      <c r="AC274" s="156">
        <f t="shared" si="209"/>
        <v>0</v>
      </c>
      <c r="AD274" s="156"/>
      <c r="AE274" s="156">
        <f t="shared" si="210"/>
        <v>0</v>
      </c>
      <c r="AF274" s="156"/>
      <c r="AG274" s="156">
        <f t="shared" si="211"/>
        <v>0</v>
      </c>
      <c r="AI274" s="157">
        <f t="shared" si="199"/>
        <v>0</v>
      </c>
    </row>
    <row r="275" spans="3:35" ht="15" customHeight="1">
      <c r="C275" s="159">
        <v>330</v>
      </c>
      <c r="E275" s="149" t="s">
        <v>759</v>
      </c>
      <c r="F275" s="222"/>
      <c r="G275" s="261">
        <v>1</v>
      </c>
      <c r="H275" s="222"/>
      <c r="I275" s="262">
        <f>+'Linkin (2)'!O19</f>
        <v>19811</v>
      </c>
      <c r="K275" s="156">
        <f t="shared" si="200"/>
        <v>14175</v>
      </c>
      <c r="M275" s="156">
        <f t="shared" si="201"/>
        <v>5636</v>
      </c>
      <c r="N275" s="156"/>
      <c r="O275" s="156">
        <f t="shared" si="202"/>
        <v>0</v>
      </c>
      <c r="P275" s="156"/>
      <c r="Q275" s="156">
        <f t="shared" si="203"/>
        <v>0</v>
      </c>
      <c r="R275" s="156"/>
      <c r="S275" s="156">
        <f t="shared" si="204"/>
        <v>0</v>
      </c>
      <c r="T275" s="156"/>
      <c r="U275" s="165">
        <f t="shared" si="205"/>
        <v>0</v>
      </c>
      <c r="V275" s="156"/>
      <c r="W275" s="156">
        <f t="shared" si="206"/>
        <v>0</v>
      </c>
      <c r="X275" s="156"/>
      <c r="Y275" s="156">
        <f t="shared" si="207"/>
        <v>0</v>
      </c>
      <c r="Z275" s="156"/>
      <c r="AA275" s="156">
        <f t="shared" si="208"/>
        <v>0</v>
      </c>
      <c r="AB275" s="156"/>
      <c r="AC275" s="156">
        <f t="shared" si="209"/>
        <v>0</v>
      </c>
      <c r="AD275" s="156"/>
      <c r="AE275" s="156">
        <f t="shared" si="210"/>
        <v>0</v>
      </c>
      <c r="AF275" s="156"/>
      <c r="AG275" s="156">
        <f t="shared" si="211"/>
        <v>0</v>
      </c>
      <c r="AI275" s="157">
        <f t="shared" si="199"/>
        <v>0</v>
      </c>
    </row>
    <row r="276" spans="3:35" ht="15" customHeight="1">
      <c r="C276" s="159">
        <v>331</v>
      </c>
      <c r="E276" s="149" t="s">
        <v>760</v>
      </c>
      <c r="F276" s="222"/>
      <c r="G276" s="261">
        <v>1</v>
      </c>
      <c r="H276" s="222"/>
      <c r="I276" s="262">
        <f>+'Linkin (2)'!O20</f>
        <v>-49940</v>
      </c>
      <c r="K276" s="156">
        <f t="shared" si="200"/>
        <v>-35732</v>
      </c>
      <c r="M276" s="156">
        <f t="shared" si="201"/>
        <v>-14208</v>
      </c>
      <c r="N276" s="156"/>
      <c r="O276" s="156">
        <f t="shared" si="202"/>
        <v>0</v>
      </c>
      <c r="P276" s="156"/>
      <c r="Q276" s="156">
        <f t="shared" si="203"/>
        <v>0</v>
      </c>
      <c r="R276" s="156"/>
      <c r="S276" s="156">
        <f t="shared" si="204"/>
        <v>0</v>
      </c>
      <c r="T276" s="156"/>
      <c r="U276" s="165">
        <f t="shared" si="205"/>
        <v>0</v>
      </c>
      <c r="V276" s="156"/>
      <c r="W276" s="156">
        <f t="shared" si="206"/>
        <v>0</v>
      </c>
      <c r="X276" s="156"/>
      <c r="Y276" s="156">
        <f t="shared" si="207"/>
        <v>0</v>
      </c>
      <c r="Z276" s="156"/>
      <c r="AA276" s="156">
        <f t="shared" si="208"/>
        <v>0</v>
      </c>
      <c r="AB276" s="156"/>
      <c r="AC276" s="156">
        <f t="shared" si="209"/>
        <v>0</v>
      </c>
      <c r="AD276" s="156"/>
      <c r="AE276" s="156">
        <f t="shared" si="210"/>
        <v>0</v>
      </c>
      <c r="AF276" s="156"/>
      <c r="AG276" s="156">
        <f t="shared" si="211"/>
        <v>0</v>
      </c>
      <c r="AI276" s="157">
        <f t="shared" si="199"/>
        <v>0</v>
      </c>
    </row>
    <row r="277" spans="3:35" ht="15" customHeight="1">
      <c r="C277" s="159">
        <v>332</v>
      </c>
      <c r="E277" s="149" t="s">
        <v>761</v>
      </c>
      <c r="F277" s="222"/>
      <c r="G277" s="261">
        <v>1</v>
      </c>
      <c r="H277" s="222"/>
      <c r="I277" s="262">
        <f>+'Linkin (2)'!O21</f>
        <v>26937</v>
      </c>
      <c r="K277" s="156">
        <f t="shared" si="200"/>
        <v>19273</v>
      </c>
      <c r="M277" s="156">
        <f t="shared" si="201"/>
        <v>7664</v>
      </c>
      <c r="N277" s="156"/>
      <c r="O277" s="156">
        <f t="shared" si="202"/>
        <v>0</v>
      </c>
      <c r="P277" s="156"/>
      <c r="Q277" s="156">
        <f t="shared" si="203"/>
        <v>0</v>
      </c>
      <c r="R277" s="156"/>
      <c r="S277" s="156">
        <f t="shared" si="204"/>
        <v>0</v>
      </c>
      <c r="T277" s="156"/>
      <c r="U277" s="165">
        <f t="shared" si="205"/>
        <v>0</v>
      </c>
      <c r="V277" s="156"/>
      <c r="W277" s="156">
        <f t="shared" si="206"/>
        <v>0</v>
      </c>
      <c r="X277" s="156"/>
      <c r="Y277" s="156">
        <f t="shared" si="207"/>
        <v>0</v>
      </c>
      <c r="Z277" s="156"/>
      <c r="AA277" s="156">
        <f t="shared" si="208"/>
        <v>0</v>
      </c>
      <c r="AB277" s="156"/>
      <c r="AC277" s="156">
        <f t="shared" si="209"/>
        <v>0</v>
      </c>
      <c r="AD277" s="156"/>
      <c r="AE277" s="156">
        <f t="shared" si="210"/>
        <v>0</v>
      </c>
      <c r="AF277" s="156"/>
      <c r="AG277" s="156">
        <f t="shared" si="211"/>
        <v>0</v>
      </c>
      <c r="AI277" s="157">
        <f t="shared" si="199"/>
        <v>0</v>
      </c>
    </row>
    <row r="278" spans="3:35" ht="15" customHeight="1">
      <c r="C278" s="159">
        <v>334</v>
      </c>
      <c r="E278" s="149" t="s">
        <v>757</v>
      </c>
      <c r="F278" s="222"/>
      <c r="G278" s="261">
        <v>1</v>
      </c>
      <c r="H278" s="222"/>
      <c r="I278" s="262">
        <f>+'Linkin (2)'!O22</f>
        <v>11603</v>
      </c>
      <c r="K278" s="156">
        <f t="shared" si="200"/>
        <v>8302</v>
      </c>
      <c r="M278" s="156">
        <f t="shared" si="201"/>
        <v>3301</v>
      </c>
      <c r="N278" s="156"/>
      <c r="O278" s="156">
        <f t="shared" si="202"/>
        <v>0</v>
      </c>
      <c r="P278" s="156"/>
      <c r="Q278" s="156">
        <f t="shared" si="203"/>
        <v>0</v>
      </c>
      <c r="R278" s="156"/>
      <c r="S278" s="156">
        <f t="shared" si="204"/>
        <v>0</v>
      </c>
      <c r="T278" s="156"/>
      <c r="U278" s="165">
        <f t="shared" si="205"/>
        <v>0</v>
      </c>
      <c r="V278" s="156"/>
      <c r="W278" s="156">
        <f t="shared" si="206"/>
        <v>0</v>
      </c>
      <c r="X278" s="156"/>
      <c r="Y278" s="156">
        <f t="shared" si="207"/>
        <v>0</v>
      </c>
      <c r="Z278" s="156"/>
      <c r="AA278" s="156">
        <f t="shared" si="208"/>
        <v>0</v>
      </c>
      <c r="AB278" s="156"/>
      <c r="AC278" s="156">
        <f t="shared" si="209"/>
        <v>0</v>
      </c>
      <c r="AD278" s="156"/>
      <c r="AE278" s="156">
        <f t="shared" si="210"/>
        <v>0</v>
      </c>
      <c r="AF278" s="156"/>
      <c r="AG278" s="156">
        <f t="shared" si="211"/>
        <v>0</v>
      </c>
      <c r="AI278" s="157">
        <f t="shared" si="199"/>
        <v>0</v>
      </c>
    </row>
    <row r="279" spans="3:35" ht="15" customHeight="1">
      <c r="C279" s="159">
        <v>335</v>
      </c>
      <c r="E279" s="149" t="s">
        <v>762</v>
      </c>
      <c r="F279" s="222"/>
      <c r="G279" s="261">
        <v>1</v>
      </c>
      <c r="H279" s="222"/>
      <c r="I279" s="262">
        <f>+'Linkin (2)'!O23</f>
        <v>158</v>
      </c>
      <c r="K279" s="156">
        <f t="shared" si="200"/>
        <v>113</v>
      </c>
      <c r="M279" s="156">
        <f t="shared" si="201"/>
        <v>45</v>
      </c>
      <c r="N279" s="156"/>
      <c r="O279" s="156">
        <f t="shared" si="202"/>
        <v>0</v>
      </c>
      <c r="P279" s="156"/>
      <c r="Q279" s="156">
        <f t="shared" si="203"/>
        <v>0</v>
      </c>
      <c r="R279" s="156"/>
      <c r="S279" s="156">
        <f t="shared" si="204"/>
        <v>0</v>
      </c>
      <c r="T279" s="156"/>
      <c r="U279" s="165">
        <f t="shared" si="205"/>
        <v>0</v>
      </c>
      <c r="V279" s="156"/>
      <c r="W279" s="156">
        <f t="shared" si="206"/>
        <v>0</v>
      </c>
      <c r="X279" s="156"/>
      <c r="Y279" s="156">
        <f t="shared" si="207"/>
        <v>0</v>
      </c>
      <c r="Z279" s="156"/>
      <c r="AA279" s="156">
        <f t="shared" si="208"/>
        <v>0</v>
      </c>
      <c r="AB279" s="156"/>
      <c r="AC279" s="156">
        <f t="shared" si="209"/>
        <v>0</v>
      </c>
      <c r="AD279" s="156"/>
      <c r="AE279" s="156">
        <f t="shared" si="210"/>
        <v>0</v>
      </c>
      <c r="AF279" s="156"/>
      <c r="AG279" s="156">
        <f t="shared" si="211"/>
        <v>0</v>
      </c>
      <c r="AI279" s="157">
        <f t="shared" si="199"/>
        <v>0</v>
      </c>
    </row>
    <row r="280" spans="3:35" ht="15" customHeight="1">
      <c r="C280" s="159">
        <v>337</v>
      </c>
      <c r="E280" s="149" t="s">
        <v>169</v>
      </c>
      <c r="F280" s="222"/>
      <c r="G280" s="261">
        <v>1</v>
      </c>
      <c r="H280" s="222"/>
      <c r="I280" s="262">
        <f>+'Linkin (2)'!O24</f>
        <v>0</v>
      </c>
      <c r="K280" s="156">
        <f t="shared" si="200"/>
        <v>0</v>
      </c>
      <c r="M280" s="156">
        <f t="shared" si="201"/>
        <v>0</v>
      </c>
      <c r="N280" s="156"/>
      <c r="O280" s="156">
        <f t="shared" si="202"/>
        <v>0</v>
      </c>
      <c r="P280" s="156"/>
      <c r="Q280" s="156">
        <f t="shared" si="203"/>
        <v>0</v>
      </c>
      <c r="R280" s="156"/>
      <c r="S280" s="156">
        <f t="shared" si="204"/>
        <v>0</v>
      </c>
      <c r="T280" s="156"/>
      <c r="U280" s="165">
        <f t="shared" si="205"/>
        <v>0</v>
      </c>
      <c r="V280" s="156"/>
      <c r="W280" s="156">
        <f t="shared" si="206"/>
        <v>0</v>
      </c>
      <c r="X280" s="156"/>
      <c r="Y280" s="156">
        <f t="shared" si="207"/>
        <v>0</v>
      </c>
      <c r="Z280" s="156"/>
      <c r="AA280" s="156">
        <f t="shared" si="208"/>
        <v>0</v>
      </c>
      <c r="AB280" s="156"/>
      <c r="AC280" s="156">
        <f t="shared" si="209"/>
        <v>0</v>
      </c>
      <c r="AD280" s="156"/>
      <c r="AE280" s="156">
        <f t="shared" si="210"/>
        <v>0</v>
      </c>
      <c r="AF280" s="156"/>
      <c r="AG280" s="156">
        <f t="shared" si="211"/>
        <v>0</v>
      </c>
      <c r="AI280" s="157">
        <f t="shared" si="199"/>
        <v>0</v>
      </c>
    </row>
    <row r="281" spans="3:35" ht="15" customHeight="1">
      <c r="C281" s="159"/>
      <c r="E281" s="87" t="s">
        <v>768</v>
      </c>
      <c r="F281" s="222"/>
      <c r="G281" s="261"/>
      <c r="H281" s="222"/>
      <c r="I281" s="894">
        <f>SUM(I268:I280)</f>
        <v>265133</v>
      </c>
      <c r="J281" s="222"/>
      <c r="K281" s="474">
        <f t="shared" ref="K281" si="212">SUM(K268:K280)</f>
        <v>189701</v>
      </c>
      <c r="L281" s="222"/>
      <c r="M281" s="474">
        <f t="shared" ref="M281" si="213">SUM(M268:M280)</f>
        <v>75432</v>
      </c>
      <c r="N281" s="222"/>
      <c r="O281" s="474">
        <f t="shared" ref="O281" si="214">SUM(O268:O280)</f>
        <v>0</v>
      </c>
      <c r="P281" s="222"/>
      <c r="Q281" s="474">
        <f t="shared" ref="Q281" si="215">SUM(Q268:Q280)</f>
        <v>0</v>
      </c>
      <c r="R281" s="222"/>
      <c r="S281" s="474">
        <f t="shared" ref="S281" si="216">SUM(S268:S280)</f>
        <v>0</v>
      </c>
      <c r="T281" s="222"/>
      <c r="U281" s="474">
        <f t="shared" ref="U281" si="217">SUM(U268:U280)</f>
        <v>0</v>
      </c>
      <c r="V281" s="222"/>
      <c r="W281" s="474">
        <f t="shared" ref="W281" si="218">SUM(W268:W280)</f>
        <v>0</v>
      </c>
      <c r="X281" s="222"/>
      <c r="Y281" s="474">
        <f t="shared" ref="Y281" si="219">SUM(Y268:Y280)</f>
        <v>0</v>
      </c>
      <c r="Z281" s="222"/>
      <c r="AA281" s="474">
        <f t="shared" ref="AA281" si="220">SUM(AA268:AA280)</f>
        <v>0</v>
      </c>
      <c r="AB281" s="222"/>
      <c r="AC281" s="474">
        <f t="shared" ref="AC281" si="221">SUM(AC268:AC280)</f>
        <v>0</v>
      </c>
      <c r="AD281" s="222"/>
      <c r="AE281" s="474">
        <f t="shared" ref="AE281" si="222">SUM(AE268:AE280)</f>
        <v>0</v>
      </c>
      <c r="AF281" s="222"/>
      <c r="AG281" s="474">
        <f t="shared" ref="AG281" si="223">SUM(AG268:AG280)</f>
        <v>0</v>
      </c>
      <c r="AI281" s="157">
        <f t="shared" si="199"/>
        <v>0</v>
      </c>
    </row>
    <row r="282" spans="3:35" ht="9.75" customHeight="1">
      <c r="E282" s="222"/>
      <c r="F282" s="222"/>
      <c r="G282" s="261"/>
      <c r="H282" s="222"/>
      <c r="I282" s="285"/>
      <c r="U282" s="165"/>
      <c r="AI282" s="157">
        <f t="shared" si="199"/>
        <v>0</v>
      </c>
    </row>
    <row r="283" spans="3:35" ht="15" customHeight="1">
      <c r="C283" s="27" t="s">
        <v>680</v>
      </c>
      <c r="E283" s="222"/>
      <c r="F283" s="222"/>
      <c r="G283" s="261"/>
      <c r="H283" s="222"/>
      <c r="I283" s="285"/>
      <c r="U283" s="165"/>
      <c r="AI283" s="157">
        <f t="shared" si="199"/>
        <v>0</v>
      </c>
    </row>
    <row r="284" spans="3:35" ht="15" customHeight="1">
      <c r="C284" s="159">
        <v>352.01</v>
      </c>
      <c r="E284" s="149" t="s">
        <v>763</v>
      </c>
      <c r="F284" s="222"/>
      <c r="G284" s="261">
        <v>1</v>
      </c>
      <c r="H284" s="222"/>
      <c r="I284" s="285">
        <f>+'Linkin (2)'!O28</f>
        <v>262934</v>
      </c>
      <c r="K284" s="156">
        <f>ROUND(VLOOKUP($G284,factors,+K$376)*$I284,0)</f>
        <v>188129</v>
      </c>
      <c r="M284" s="156">
        <f>ROUND(VLOOKUP($G284,factors,+M$376)*$I284,0)</f>
        <v>74805</v>
      </c>
      <c r="N284" s="156"/>
      <c r="O284" s="156">
        <f>ROUND(VLOOKUP($G284,factors,+O$376)*$I284,0)</f>
        <v>0</v>
      </c>
      <c r="P284" s="156"/>
      <c r="Q284" s="156">
        <f>ROUND(VLOOKUP($G284,factors,+Q$376)*$I284,0)</f>
        <v>0</v>
      </c>
      <c r="R284" s="156"/>
      <c r="S284" s="156">
        <f>ROUND(VLOOKUP($G284,factors,+S$376)*$I284,0)</f>
        <v>0</v>
      </c>
      <c r="T284" s="156"/>
      <c r="U284" s="165">
        <f>ROUND(VLOOKUP($G284,factors,+U$376)*$I284,0)</f>
        <v>0</v>
      </c>
      <c r="V284" s="156"/>
      <c r="W284" s="156">
        <f>ROUND(VLOOKUP($G284,factors,+W$376)*$I284,0)</f>
        <v>0</v>
      </c>
      <c r="X284" s="156"/>
      <c r="Y284" s="156">
        <f>ROUND(VLOOKUP($G284,factors,+Y$376)*$I284,0)</f>
        <v>0</v>
      </c>
      <c r="Z284" s="156"/>
      <c r="AA284" s="156">
        <f>ROUND(VLOOKUP($G284,factors,+AA$376)*$I284,0)</f>
        <v>0</v>
      </c>
      <c r="AB284" s="156"/>
      <c r="AC284" s="156">
        <f>ROUND(VLOOKUP($G284,factors,+AC$376)*$I284,0)</f>
        <v>0</v>
      </c>
      <c r="AD284" s="156"/>
      <c r="AE284" s="156">
        <f>ROUND(VLOOKUP($G284,factors,+AE$376)*$I284,0)</f>
        <v>0</v>
      </c>
      <c r="AF284" s="156"/>
      <c r="AG284" s="156">
        <f>ROUND(VLOOKUP($G284,factors,+AG$376)*$I284,0)</f>
        <v>0</v>
      </c>
      <c r="AI284" s="157">
        <f t="shared" si="199"/>
        <v>0</v>
      </c>
    </row>
    <row r="285" spans="3:35" ht="9.75" customHeight="1">
      <c r="C285" s="159"/>
      <c r="E285" s="222"/>
      <c r="F285" s="222"/>
      <c r="G285" s="261"/>
      <c r="H285" s="222"/>
      <c r="I285" s="285"/>
      <c r="U285" s="165"/>
      <c r="AI285" s="157">
        <f t="shared" si="199"/>
        <v>0</v>
      </c>
    </row>
    <row r="286" spans="3:35" ht="15" customHeight="1">
      <c r="C286" s="718" t="s">
        <v>683</v>
      </c>
      <c r="E286" s="222"/>
      <c r="F286" s="222"/>
      <c r="G286" s="261"/>
      <c r="H286" s="222"/>
      <c r="I286" s="285"/>
      <c r="U286" s="165"/>
      <c r="AI286" s="157">
        <f t="shared" si="199"/>
        <v>0</v>
      </c>
    </row>
    <row r="287" spans="3:35" ht="15" customHeight="1">
      <c r="C287" s="572">
        <v>365</v>
      </c>
      <c r="E287" s="222" t="s">
        <v>777</v>
      </c>
      <c r="F287" s="222"/>
      <c r="G287" s="261">
        <v>4</v>
      </c>
      <c r="H287" s="222"/>
      <c r="I287" s="262">
        <f>+'Linkin (2)'!K118</f>
        <v>47323</v>
      </c>
      <c r="K287" s="156">
        <f t="shared" ref="K287:K294" si="224">ROUND(VLOOKUP($G287,factors,+K$376)*$I287,0)</f>
        <v>24788</v>
      </c>
      <c r="M287" s="156">
        <f t="shared" ref="M287:M294" si="225">ROUND(VLOOKUP($G287,factors,+M$376)*$I287,0)</f>
        <v>13672</v>
      </c>
      <c r="N287" s="156"/>
      <c r="O287" s="156">
        <f t="shared" ref="O287:O294" si="226">ROUND(VLOOKUP($G287,factors,+O$376)*$I287,0)</f>
        <v>3705</v>
      </c>
      <c r="P287" s="156"/>
      <c r="Q287" s="156">
        <f t="shared" ref="Q287:Q294" si="227">ROUND(VLOOKUP($G287,factors,+Q$376)*$I287,0)</f>
        <v>3644</v>
      </c>
      <c r="R287" s="156"/>
      <c r="S287" s="156">
        <f t="shared" ref="S287:S294" si="228">ROUND(VLOOKUP($G287,factors,+S$376)*$I287,0)</f>
        <v>0</v>
      </c>
      <c r="T287" s="156"/>
      <c r="U287" s="165">
        <f t="shared" ref="U287:U294" si="229">ROUND(VLOOKUP($G287,factors,+U$376)*$I287,0)</f>
        <v>1514</v>
      </c>
      <c r="V287" s="156"/>
      <c r="W287" s="156">
        <f t="shared" ref="W287:W294" si="230">ROUND(VLOOKUP($G287,factors,+W$376)*$I287,0)</f>
        <v>0</v>
      </c>
      <c r="X287" s="156"/>
      <c r="Y287" s="156">
        <f t="shared" ref="Y287:Y294" si="231">ROUND(VLOOKUP($G287,factors,+Y$376)*$I287,0)</f>
        <v>0</v>
      </c>
      <c r="Z287" s="156"/>
      <c r="AA287" s="156">
        <f t="shared" ref="AA287:AA294" si="232">ROUND(VLOOKUP($G287,factors,+AA$376)*$I287,0)</f>
        <v>0</v>
      </c>
      <c r="AB287" s="156"/>
      <c r="AC287" s="156">
        <f t="shared" ref="AC287:AC294" si="233">ROUND(VLOOKUP($G287,factors,+AC$376)*$I287,0)</f>
        <v>0</v>
      </c>
      <c r="AD287" s="156"/>
      <c r="AE287" s="156">
        <f t="shared" ref="AE287:AE294" si="234">ROUND(VLOOKUP($G287,factors,+AE$376)*$I287,0)</f>
        <v>0</v>
      </c>
      <c r="AF287" s="156"/>
      <c r="AG287" s="156">
        <f t="shared" ref="AG287:AG294" si="235">ROUND(VLOOKUP($G287,factors,+AG$376)*$I287,0)</f>
        <v>0</v>
      </c>
      <c r="AI287" s="157">
        <f t="shared" si="199"/>
        <v>0</v>
      </c>
    </row>
    <row r="288" spans="3:35" ht="15" customHeight="1">
      <c r="C288" s="159">
        <v>365.2</v>
      </c>
      <c r="E288" s="149" t="s">
        <v>756</v>
      </c>
      <c r="F288" s="222"/>
      <c r="G288" s="261">
        <v>4</v>
      </c>
      <c r="H288" s="222"/>
      <c r="I288" s="285">
        <f>+'Linkin (2)'!$O32</f>
        <v>355377</v>
      </c>
      <c r="K288" s="156">
        <f t="shared" si="224"/>
        <v>186146</v>
      </c>
      <c r="M288" s="156">
        <f t="shared" si="225"/>
        <v>102668</v>
      </c>
      <c r="N288" s="156"/>
      <c r="O288" s="156">
        <f t="shared" si="226"/>
        <v>27826</v>
      </c>
      <c r="P288" s="156"/>
      <c r="Q288" s="156">
        <f t="shared" si="227"/>
        <v>27364</v>
      </c>
      <c r="R288" s="156"/>
      <c r="S288" s="156">
        <f t="shared" si="228"/>
        <v>0</v>
      </c>
      <c r="T288" s="156"/>
      <c r="U288" s="165">
        <f t="shared" si="229"/>
        <v>11372</v>
      </c>
      <c r="V288" s="156"/>
      <c r="W288" s="156">
        <f t="shared" si="230"/>
        <v>0</v>
      </c>
      <c r="X288" s="156"/>
      <c r="Y288" s="156">
        <f t="shared" si="231"/>
        <v>0</v>
      </c>
      <c r="Z288" s="156"/>
      <c r="AA288" s="156">
        <f t="shared" si="232"/>
        <v>0</v>
      </c>
      <c r="AB288" s="156"/>
      <c r="AC288" s="156">
        <f t="shared" si="233"/>
        <v>0</v>
      </c>
      <c r="AD288" s="156"/>
      <c r="AE288" s="156">
        <f t="shared" si="234"/>
        <v>0</v>
      </c>
      <c r="AF288" s="156"/>
      <c r="AG288" s="156">
        <f t="shared" si="235"/>
        <v>0</v>
      </c>
      <c r="AI288" s="157">
        <f t="shared" si="199"/>
        <v>-1</v>
      </c>
    </row>
    <row r="289" spans="1:747" ht="15" customHeight="1">
      <c r="C289" s="159">
        <v>366</v>
      </c>
      <c r="E289" s="222" t="s">
        <v>531</v>
      </c>
      <c r="F289" s="222"/>
      <c r="G289" s="261">
        <v>4</v>
      </c>
      <c r="H289" s="222"/>
      <c r="I289" s="285">
        <f>+'Linkin (2)'!$O33</f>
        <v>11469</v>
      </c>
      <c r="K289" s="156">
        <f t="shared" si="224"/>
        <v>6007</v>
      </c>
      <c r="M289" s="156">
        <f t="shared" si="225"/>
        <v>3313</v>
      </c>
      <c r="N289" s="156"/>
      <c r="O289" s="156">
        <f t="shared" si="226"/>
        <v>898</v>
      </c>
      <c r="P289" s="156"/>
      <c r="Q289" s="156">
        <f t="shared" si="227"/>
        <v>883</v>
      </c>
      <c r="R289" s="156"/>
      <c r="S289" s="156">
        <f t="shared" si="228"/>
        <v>0</v>
      </c>
      <c r="T289" s="156"/>
      <c r="U289" s="165">
        <f t="shared" si="229"/>
        <v>367</v>
      </c>
      <c r="V289" s="156"/>
      <c r="W289" s="156">
        <f t="shared" si="230"/>
        <v>0</v>
      </c>
      <c r="X289" s="156"/>
      <c r="Y289" s="156">
        <f t="shared" si="231"/>
        <v>0</v>
      </c>
      <c r="Z289" s="156"/>
      <c r="AA289" s="156">
        <f t="shared" si="232"/>
        <v>0</v>
      </c>
      <c r="AB289" s="156"/>
      <c r="AC289" s="156">
        <f t="shared" si="233"/>
        <v>0</v>
      </c>
      <c r="AD289" s="156"/>
      <c r="AE289" s="156">
        <f t="shared" si="234"/>
        <v>0</v>
      </c>
      <c r="AF289" s="156"/>
      <c r="AG289" s="156">
        <f t="shared" si="235"/>
        <v>0</v>
      </c>
      <c r="AI289" s="157">
        <f t="shared" si="199"/>
        <v>-1</v>
      </c>
    </row>
    <row r="290" spans="1:747" ht="15" customHeight="1">
      <c r="C290" s="159">
        <v>367</v>
      </c>
      <c r="E290" s="222" t="s">
        <v>158</v>
      </c>
      <c r="F290" s="222"/>
      <c r="G290" s="261">
        <v>4</v>
      </c>
      <c r="H290" s="222"/>
      <c r="I290" s="285">
        <f>+'Linkin (2)'!$O34</f>
        <v>17551844</v>
      </c>
      <c r="K290" s="156">
        <f t="shared" si="224"/>
        <v>9193656</v>
      </c>
      <c r="M290" s="156">
        <f t="shared" si="225"/>
        <v>5070728</v>
      </c>
      <c r="N290" s="156"/>
      <c r="O290" s="156">
        <f t="shared" si="226"/>
        <v>1374309</v>
      </c>
      <c r="P290" s="156"/>
      <c r="Q290" s="156">
        <f t="shared" si="227"/>
        <v>1351492</v>
      </c>
      <c r="R290" s="156"/>
      <c r="S290" s="156">
        <f t="shared" si="228"/>
        <v>0</v>
      </c>
      <c r="T290" s="156"/>
      <c r="U290" s="165">
        <f t="shared" si="229"/>
        <v>561659</v>
      </c>
      <c r="V290" s="156"/>
      <c r="W290" s="156">
        <f t="shared" si="230"/>
        <v>0</v>
      </c>
      <c r="X290" s="156"/>
      <c r="Y290" s="156">
        <f t="shared" si="231"/>
        <v>0</v>
      </c>
      <c r="Z290" s="156"/>
      <c r="AA290" s="156">
        <f t="shared" si="232"/>
        <v>0</v>
      </c>
      <c r="AB290" s="156"/>
      <c r="AC290" s="156">
        <f t="shared" si="233"/>
        <v>0</v>
      </c>
      <c r="AD290" s="156"/>
      <c r="AE290" s="156">
        <f t="shared" si="234"/>
        <v>0</v>
      </c>
      <c r="AF290" s="156"/>
      <c r="AG290" s="156">
        <f t="shared" si="235"/>
        <v>0</v>
      </c>
      <c r="AI290" s="157">
        <f t="shared" si="199"/>
        <v>0</v>
      </c>
    </row>
    <row r="291" spans="1:747" ht="15" customHeight="1">
      <c r="C291" s="159">
        <v>369</v>
      </c>
      <c r="E291" s="222" t="s">
        <v>765</v>
      </c>
      <c r="F291" s="222"/>
      <c r="G291" s="261">
        <v>4</v>
      </c>
      <c r="H291" s="222"/>
      <c r="I291" s="285">
        <f>+'Linkin (2)'!$O35</f>
        <v>2376561</v>
      </c>
      <c r="K291" s="156">
        <f t="shared" si="224"/>
        <v>1244843</v>
      </c>
      <c r="M291" s="156">
        <f t="shared" si="225"/>
        <v>686588</v>
      </c>
      <c r="N291" s="156"/>
      <c r="O291" s="156">
        <f t="shared" si="226"/>
        <v>186085</v>
      </c>
      <c r="P291" s="156"/>
      <c r="Q291" s="156">
        <f t="shared" si="227"/>
        <v>182995</v>
      </c>
      <c r="R291" s="156"/>
      <c r="S291" s="156">
        <f t="shared" si="228"/>
        <v>0</v>
      </c>
      <c r="T291" s="156"/>
      <c r="U291" s="165">
        <f t="shared" si="229"/>
        <v>76050</v>
      </c>
      <c r="V291" s="156"/>
      <c r="W291" s="156">
        <f t="shared" si="230"/>
        <v>0</v>
      </c>
      <c r="X291" s="156"/>
      <c r="Y291" s="156">
        <f t="shared" si="231"/>
        <v>0</v>
      </c>
      <c r="Z291" s="156"/>
      <c r="AA291" s="156">
        <f t="shared" si="232"/>
        <v>0</v>
      </c>
      <c r="AB291" s="156"/>
      <c r="AC291" s="156">
        <f t="shared" si="233"/>
        <v>0</v>
      </c>
      <c r="AD291" s="156"/>
      <c r="AE291" s="156">
        <f t="shared" si="234"/>
        <v>0</v>
      </c>
      <c r="AF291" s="156"/>
      <c r="AG291" s="156">
        <f t="shared" si="235"/>
        <v>0</v>
      </c>
      <c r="AI291" s="157">
        <f t="shared" si="199"/>
        <v>0</v>
      </c>
    </row>
    <row r="292" spans="1:747" ht="15" customHeight="1">
      <c r="C292" s="159">
        <v>370</v>
      </c>
      <c r="E292" s="222" t="s">
        <v>766</v>
      </c>
      <c r="F292" s="222"/>
      <c r="G292" s="261">
        <v>4</v>
      </c>
      <c r="H292" s="222"/>
      <c r="I292" s="285">
        <f>+'Linkin (2)'!$O36</f>
        <v>1598176</v>
      </c>
      <c r="K292" s="156">
        <f t="shared" si="224"/>
        <v>837125</v>
      </c>
      <c r="M292" s="156">
        <f t="shared" si="225"/>
        <v>461713</v>
      </c>
      <c r="N292" s="156"/>
      <c r="O292" s="156">
        <f t="shared" si="226"/>
        <v>125137</v>
      </c>
      <c r="P292" s="156"/>
      <c r="Q292" s="156">
        <f t="shared" si="227"/>
        <v>123060</v>
      </c>
      <c r="R292" s="156"/>
      <c r="S292" s="156">
        <f t="shared" si="228"/>
        <v>0</v>
      </c>
      <c r="T292" s="156"/>
      <c r="U292" s="165">
        <f t="shared" si="229"/>
        <v>51142</v>
      </c>
      <c r="V292" s="156"/>
      <c r="W292" s="156">
        <f t="shared" si="230"/>
        <v>0</v>
      </c>
      <c r="X292" s="156"/>
      <c r="Y292" s="156">
        <f t="shared" si="231"/>
        <v>0</v>
      </c>
      <c r="Z292" s="156"/>
      <c r="AA292" s="156">
        <f t="shared" si="232"/>
        <v>0</v>
      </c>
      <c r="AB292" s="156"/>
      <c r="AC292" s="156">
        <f t="shared" si="233"/>
        <v>0</v>
      </c>
      <c r="AD292" s="156"/>
      <c r="AE292" s="156">
        <f t="shared" si="234"/>
        <v>0</v>
      </c>
      <c r="AF292" s="156"/>
      <c r="AG292" s="156">
        <f t="shared" si="235"/>
        <v>0</v>
      </c>
      <c r="AI292" s="157">
        <f t="shared" si="199"/>
        <v>1</v>
      </c>
    </row>
    <row r="293" spans="1:747" ht="15" customHeight="1">
      <c r="C293" s="159">
        <v>371</v>
      </c>
      <c r="E293" s="222" t="s">
        <v>169</v>
      </c>
      <c r="F293" s="222"/>
      <c r="G293" s="261">
        <v>4</v>
      </c>
      <c r="H293" s="222"/>
      <c r="I293" s="285">
        <f>+'Linkin (2)'!$O37</f>
        <v>13687</v>
      </c>
      <c r="K293" s="156">
        <f t="shared" si="224"/>
        <v>7169</v>
      </c>
      <c r="M293" s="156">
        <f t="shared" si="225"/>
        <v>3954</v>
      </c>
      <c r="N293" s="156"/>
      <c r="O293" s="156">
        <f t="shared" si="226"/>
        <v>1072</v>
      </c>
      <c r="P293" s="156"/>
      <c r="Q293" s="156">
        <f t="shared" si="227"/>
        <v>1054</v>
      </c>
      <c r="R293" s="156"/>
      <c r="S293" s="156">
        <f t="shared" si="228"/>
        <v>0</v>
      </c>
      <c r="T293" s="156"/>
      <c r="U293" s="165">
        <f t="shared" si="229"/>
        <v>438</v>
      </c>
      <c r="V293" s="156"/>
      <c r="W293" s="156">
        <f t="shared" si="230"/>
        <v>0</v>
      </c>
      <c r="X293" s="156"/>
      <c r="Y293" s="156">
        <f t="shared" si="231"/>
        <v>0</v>
      </c>
      <c r="Z293" s="156"/>
      <c r="AA293" s="156">
        <f t="shared" si="232"/>
        <v>0</v>
      </c>
      <c r="AB293" s="156"/>
      <c r="AC293" s="156">
        <f t="shared" si="233"/>
        <v>0</v>
      </c>
      <c r="AD293" s="156"/>
      <c r="AE293" s="156">
        <f t="shared" si="234"/>
        <v>0</v>
      </c>
      <c r="AF293" s="156"/>
      <c r="AG293" s="156">
        <f t="shared" si="235"/>
        <v>0</v>
      </c>
      <c r="AI293" s="157">
        <f t="shared" si="199"/>
        <v>0</v>
      </c>
    </row>
    <row r="294" spans="1:747" ht="15" customHeight="1">
      <c r="C294" s="159">
        <v>371.1</v>
      </c>
      <c r="E294" s="222" t="s">
        <v>767</v>
      </c>
      <c r="F294" s="222"/>
      <c r="G294" s="261">
        <v>4</v>
      </c>
      <c r="H294" s="222"/>
      <c r="I294" s="285">
        <f>+'Linkin (2)'!$O38</f>
        <v>69231</v>
      </c>
      <c r="K294" s="156">
        <f t="shared" si="224"/>
        <v>36263</v>
      </c>
      <c r="M294" s="156">
        <f t="shared" si="225"/>
        <v>20001</v>
      </c>
      <c r="N294" s="156"/>
      <c r="O294" s="156">
        <f t="shared" si="226"/>
        <v>5421</v>
      </c>
      <c r="P294" s="156"/>
      <c r="Q294" s="156">
        <f t="shared" si="227"/>
        <v>5331</v>
      </c>
      <c r="R294" s="156"/>
      <c r="S294" s="156">
        <f t="shared" si="228"/>
        <v>0</v>
      </c>
      <c r="T294" s="156"/>
      <c r="U294" s="165">
        <f t="shared" si="229"/>
        <v>2215</v>
      </c>
      <c r="V294" s="156"/>
      <c r="W294" s="156">
        <f t="shared" si="230"/>
        <v>0</v>
      </c>
      <c r="X294" s="156"/>
      <c r="Y294" s="156">
        <f t="shared" si="231"/>
        <v>0</v>
      </c>
      <c r="Z294" s="156"/>
      <c r="AA294" s="156">
        <f t="shared" si="232"/>
        <v>0</v>
      </c>
      <c r="AB294" s="156"/>
      <c r="AC294" s="156">
        <f t="shared" si="233"/>
        <v>0</v>
      </c>
      <c r="AD294" s="156"/>
      <c r="AE294" s="156">
        <f t="shared" si="234"/>
        <v>0</v>
      </c>
      <c r="AF294" s="156"/>
      <c r="AG294" s="156">
        <f t="shared" si="235"/>
        <v>0</v>
      </c>
      <c r="AI294" s="157">
        <f t="shared" si="199"/>
        <v>0</v>
      </c>
    </row>
    <row r="295" spans="1:747" ht="15" customHeight="1">
      <c r="C295" s="159"/>
      <c r="E295" s="260" t="s">
        <v>769</v>
      </c>
      <c r="F295" s="222"/>
      <c r="G295" s="261"/>
      <c r="H295" s="222"/>
      <c r="I295" s="474">
        <f>SUM(I287:I294)</f>
        <v>22023668</v>
      </c>
      <c r="J295" s="222"/>
      <c r="K295" s="474">
        <f t="shared" ref="K295" si="236">SUM(K287:K294)</f>
        <v>11535997</v>
      </c>
      <c r="L295" s="222"/>
      <c r="M295" s="474">
        <f t="shared" ref="M295" si="237">SUM(M287:M294)</f>
        <v>6362637</v>
      </c>
      <c r="N295" s="222"/>
      <c r="O295" s="474">
        <f t="shared" ref="O295" si="238">SUM(O287:O294)</f>
        <v>1724453</v>
      </c>
      <c r="P295" s="222"/>
      <c r="Q295" s="474">
        <f t="shared" ref="Q295" si="239">SUM(Q287:Q294)</f>
        <v>1695823</v>
      </c>
      <c r="R295" s="222"/>
      <c r="S295" s="474">
        <f t="shared" ref="S295" si="240">SUM(S287:S294)</f>
        <v>0</v>
      </c>
      <c r="T295" s="222"/>
      <c r="U295" s="474">
        <f t="shared" ref="U295" si="241">SUM(U287:U294)</f>
        <v>704757</v>
      </c>
      <c r="V295" s="222"/>
      <c r="W295" s="474">
        <f t="shared" ref="W295" si="242">SUM(W287:W294)</f>
        <v>0</v>
      </c>
      <c r="X295" s="222"/>
      <c r="Y295" s="474">
        <f t="shared" ref="Y295" si="243">SUM(Y287:Y294)</f>
        <v>0</v>
      </c>
      <c r="Z295" s="222"/>
      <c r="AA295" s="474">
        <f t="shared" ref="AA295" si="244">SUM(AA287:AA294)</f>
        <v>0</v>
      </c>
      <c r="AB295" s="222"/>
      <c r="AC295" s="474">
        <f t="shared" ref="AC295" si="245">SUM(AC287:AC294)</f>
        <v>0</v>
      </c>
      <c r="AD295" s="222"/>
      <c r="AE295" s="474">
        <f t="shared" ref="AE295" si="246">SUM(AE287:AE294)</f>
        <v>0</v>
      </c>
      <c r="AF295" s="222"/>
      <c r="AG295" s="474">
        <f t="shared" ref="AG295" si="247">SUM(AG287:AG294)</f>
        <v>0</v>
      </c>
      <c r="AI295" s="157">
        <f t="shared" si="199"/>
        <v>-1</v>
      </c>
    </row>
    <row r="296" spans="1:747" ht="9.75" customHeight="1">
      <c r="C296" s="159"/>
      <c r="E296" s="222"/>
      <c r="F296" s="222"/>
      <c r="G296" s="261"/>
      <c r="H296" s="222"/>
      <c r="I296" s="285"/>
      <c r="U296" s="165"/>
      <c r="AI296" s="157">
        <f t="shared" si="199"/>
        <v>0</v>
      </c>
    </row>
    <row r="297" spans="1:747" ht="15" customHeight="1">
      <c r="C297" s="27" t="s">
        <v>239</v>
      </c>
      <c r="E297" s="222"/>
      <c r="F297" s="222"/>
      <c r="G297" s="261"/>
      <c r="H297" s="222"/>
      <c r="I297" s="285"/>
      <c r="U297" s="165"/>
      <c r="AI297" s="157">
        <f t="shared" si="199"/>
        <v>0</v>
      </c>
    </row>
    <row r="298" spans="1:747" ht="15" customHeight="1">
      <c r="C298" s="159">
        <v>374</v>
      </c>
      <c r="E298" s="260" t="s">
        <v>536</v>
      </c>
      <c r="F298" s="222"/>
      <c r="G298" s="392">
        <v>18</v>
      </c>
      <c r="H298" s="260"/>
      <c r="I298" s="262">
        <f>+'Linkin (2)'!K119</f>
        <v>849347</v>
      </c>
      <c r="K298" s="156">
        <f t="shared" ref="K298:K303" si="248">ROUND(VLOOKUP($G298,factors,+K$376)*$I298,0)</f>
        <v>418049</v>
      </c>
      <c r="M298" s="156">
        <f t="shared" ref="M298:M303" si="249">ROUND(VLOOKUP($G298,factors,+M$376)*$I298,0)</f>
        <v>230598</v>
      </c>
      <c r="N298" s="156"/>
      <c r="O298" s="156">
        <f t="shared" ref="O298:O303" si="250">ROUND(VLOOKUP($G298,factors,+O$376)*$I298,0)</f>
        <v>62512</v>
      </c>
      <c r="P298" s="156"/>
      <c r="Q298" s="156">
        <f t="shared" ref="Q298:Q303" si="251">ROUND(VLOOKUP($G298,factors,+Q$376)*$I298,0)</f>
        <v>61493</v>
      </c>
      <c r="R298" s="156"/>
      <c r="S298" s="156">
        <f t="shared" ref="S298:S303" si="252">ROUND(VLOOKUP($G298,factors,+S$376)*$I298,0)</f>
        <v>50876</v>
      </c>
      <c r="T298" s="156"/>
      <c r="U298" s="165">
        <f t="shared" ref="U298:U303" si="253">ROUND(VLOOKUP($G298,factors,+U$376)*$I298,0)</f>
        <v>25820</v>
      </c>
      <c r="V298" s="156"/>
      <c r="W298" s="156">
        <f>ROUND(VLOOKUP($G298,factors,+W$376)*$I298,0)</f>
        <v>0</v>
      </c>
      <c r="X298" s="156"/>
      <c r="Y298" s="156">
        <f>ROUND(VLOOKUP($G298,factors,+Y$376)*$I298,0)</f>
        <v>0</v>
      </c>
      <c r="Z298" s="156"/>
      <c r="AA298" s="156">
        <f>ROUND(VLOOKUP($G298,factors,+AA$376)*$I298,0)</f>
        <v>0</v>
      </c>
      <c r="AB298" s="156"/>
      <c r="AC298" s="156">
        <f>ROUND(VLOOKUP($G298,factors,+AC$376)*$I298,0)</f>
        <v>0</v>
      </c>
      <c r="AD298" s="156"/>
      <c r="AE298" s="156">
        <f>ROUND(VLOOKUP($G298,factors,+AE$376)*$I298,0)</f>
        <v>0</v>
      </c>
      <c r="AF298" s="156"/>
      <c r="AG298" s="156">
        <f>ROUND(VLOOKUP($G298,factors,+AG$376)*$I298,0)</f>
        <v>0</v>
      </c>
      <c r="AI298" s="157">
        <f t="shared" si="199"/>
        <v>1</v>
      </c>
    </row>
    <row r="299" spans="1:747" ht="15" customHeight="1">
      <c r="C299" s="159">
        <v>374</v>
      </c>
      <c r="E299" s="222" t="s">
        <v>383</v>
      </c>
      <c r="F299" s="222"/>
      <c r="G299" s="392">
        <v>18</v>
      </c>
      <c r="H299" s="260"/>
      <c r="I299" s="262">
        <f>+'Linkin (2)'!K120</f>
        <v>6350735</v>
      </c>
      <c r="K299" s="156">
        <f t="shared" si="248"/>
        <v>3125832</v>
      </c>
      <c r="M299" s="156">
        <f t="shared" si="249"/>
        <v>1724225</v>
      </c>
      <c r="N299" s="156"/>
      <c r="O299" s="156">
        <f t="shared" si="250"/>
        <v>467414</v>
      </c>
      <c r="P299" s="156"/>
      <c r="Q299" s="156">
        <f t="shared" si="251"/>
        <v>459793</v>
      </c>
      <c r="R299" s="156"/>
      <c r="S299" s="156">
        <f t="shared" si="252"/>
        <v>380409</v>
      </c>
      <c r="T299" s="156"/>
      <c r="U299" s="165">
        <f t="shared" si="253"/>
        <v>193062</v>
      </c>
      <c r="V299" s="156"/>
      <c r="W299" s="156">
        <f>ROUND(VLOOKUP($G299,factors,+W$376)*$I299,0)</f>
        <v>0</v>
      </c>
      <c r="X299" s="156"/>
      <c r="Y299" s="156">
        <f>ROUND(VLOOKUP($G299,factors,+Y$376)*$I299,0)</f>
        <v>0</v>
      </c>
      <c r="Z299" s="156"/>
      <c r="AA299" s="156">
        <f>ROUND(VLOOKUP($G299,factors,+AA$376)*$I299,0)</f>
        <v>0</v>
      </c>
      <c r="AB299" s="156"/>
      <c r="AC299" s="156">
        <f>ROUND(VLOOKUP($G299,factors,+AC$376)*$I299,0)</f>
        <v>0</v>
      </c>
      <c r="AD299" s="156"/>
      <c r="AE299" s="156">
        <f>ROUND(VLOOKUP($G299,factors,+AE$376)*$I299,0)</f>
        <v>0</v>
      </c>
      <c r="AF299" s="156"/>
      <c r="AG299" s="156">
        <f>ROUND(VLOOKUP($G299,factors,+AG$376)*$I299,0)</f>
        <v>0</v>
      </c>
      <c r="AI299" s="157">
        <f t="shared" si="199"/>
        <v>0</v>
      </c>
    </row>
    <row r="300" spans="1:747" ht="15" customHeight="1">
      <c r="A300" s="222"/>
      <c r="B300" s="222"/>
      <c r="C300" s="159">
        <v>374</v>
      </c>
      <c r="E300" s="222" t="s">
        <v>776</v>
      </c>
      <c r="F300" s="222"/>
      <c r="G300" s="261">
        <v>4</v>
      </c>
      <c r="H300" s="222"/>
      <c r="I300" s="285">
        <f>+'Linkin (2)'!O42</f>
        <v>1954173</v>
      </c>
      <c r="K300" s="156">
        <f t="shared" si="248"/>
        <v>1023596</v>
      </c>
      <c r="M300" s="156">
        <f t="shared" si="249"/>
        <v>564561</v>
      </c>
      <c r="N300" s="156"/>
      <c r="O300" s="156">
        <f t="shared" si="250"/>
        <v>153012</v>
      </c>
      <c r="P300" s="156"/>
      <c r="Q300" s="156">
        <f t="shared" si="251"/>
        <v>150471</v>
      </c>
      <c r="R300" s="156"/>
      <c r="S300" s="156">
        <f t="shared" si="252"/>
        <v>0</v>
      </c>
      <c r="T300" s="156"/>
      <c r="U300" s="165">
        <f t="shared" si="253"/>
        <v>62534</v>
      </c>
      <c r="V300" s="156"/>
      <c r="W300" s="156">
        <f>ROUND(VLOOKUP($G300,factors,+W$376)*$I300,0)</f>
        <v>0</v>
      </c>
      <c r="X300" s="156"/>
      <c r="Y300" s="156">
        <f>ROUND(VLOOKUP($G300,factors,+Y$376)*$I300,0)</f>
        <v>0</v>
      </c>
      <c r="Z300" s="156"/>
      <c r="AA300" s="156">
        <f>ROUND(VLOOKUP($G300,factors,+AA$376)*$I300,0)</f>
        <v>0</v>
      </c>
      <c r="AB300" s="156"/>
      <c r="AC300" s="156">
        <f>ROUND(VLOOKUP($G300,factors,+AC$376)*$I300,0)</f>
        <v>0</v>
      </c>
      <c r="AD300" s="156"/>
      <c r="AE300" s="156">
        <f>ROUND(VLOOKUP($G300,factors,+AE$376)*$I300,0)</f>
        <v>0</v>
      </c>
      <c r="AF300" s="156"/>
      <c r="AG300" s="156">
        <f>ROUND(VLOOKUP($G300,factors,+AG$376)*$I300,0)</f>
        <v>0</v>
      </c>
      <c r="AI300" s="157">
        <f t="shared" si="199"/>
        <v>1</v>
      </c>
    </row>
    <row r="301" spans="1:747" ht="15" customHeight="1">
      <c r="A301" s="222"/>
      <c r="B301" s="222"/>
      <c r="C301" s="159">
        <v>375</v>
      </c>
      <c r="E301" s="260" t="s">
        <v>289</v>
      </c>
      <c r="F301" s="222"/>
      <c r="G301" s="392">
        <v>18</v>
      </c>
      <c r="H301" s="222"/>
      <c r="I301" s="262">
        <f>+'Linkin (2)'!O43</f>
        <v>2215631</v>
      </c>
      <c r="K301" s="156">
        <f t="shared" si="248"/>
        <v>1090534</v>
      </c>
      <c r="M301" s="156">
        <f t="shared" si="249"/>
        <v>601544</v>
      </c>
      <c r="N301" s="156"/>
      <c r="O301" s="156">
        <f t="shared" si="250"/>
        <v>163070</v>
      </c>
      <c r="P301" s="156"/>
      <c r="Q301" s="156">
        <f t="shared" si="251"/>
        <v>160412</v>
      </c>
      <c r="R301" s="156"/>
      <c r="S301" s="156">
        <f t="shared" si="252"/>
        <v>132716</v>
      </c>
      <c r="T301" s="156"/>
      <c r="U301" s="165">
        <f t="shared" si="253"/>
        <v>67355</v>
      </c>
      <c r="V301" s="156"/>
      <c r="W301" s="156">
        <f>ROUND(VLOOKUP($G301,factors,+W$376)*$I301,0)</f>
        <v>0</v>
      </c>
      <c r="X301" s="156"/>
      <c r="Y301" s="156">
        <f>ROUND(VLOOKUP($G301,factors,+Y$376)*$I301,0)</f>
        <v>0</v>
      </c>
      <c r="Z301" s="156"/>
      <c r="AA301" s="156">
        <f>ROUND(VLOOKUP($G301,factors,+AA$376)*$I301,0)</f>
        <v>0</v>
      </c>
      <c r="AB301" s="156"/>
      <c r="AC301" s="156">
        <f>ROUND(VLOOKUP($G301,factors,+AC$376)*$I301,0)</f>
        <v>0</v>
      </c>
      <c r="AD301" s="156"/>
      <c r="AE301" s="156">
        <f>ROUND(VLOOKUP($G301,factors,+AE$376)*$I301,0)</f>
        <v>0</v>
      </c>
      <c r="AF301" s="156"/>
      <c r="AG301" s="156">
        <f>ROUND(VLOOKUP($G301,factors,+AG$376)*$I301,0)</f>
        <v>0</v>
      </c>
      <c r="AI301" s="157">
        <f t="shared" si="199"/>
        <v>0</v>
      </c>
    </row>
    <row r="302" spans="1:747" s="122" customFormat="1" ht="15" customHeight="1">
      <c r="A302" s="435">
        <f>+('Linkin (2)'!A$48-Alloc!A$304)*Alloc!B67</f>
        <v>625186841.33810008</v>
      </c>
      <c r="B302" s="125"/>
      <c r="C302" s="392">
        <v>376</v>
      </c>
      <c r="D302" s="260"/>
      <c r="E302" s="260" t="s">
        <v>391</v>
      </c>
      <c r="F302" s="222"/>
      <c r="G302" s="392">
        <v>5</v>
      </c>
      <c r="H302" s="222"/>
      <c r="I302" s="285">
        <f>ROUND(A302*'Linkin (2)'!$A$49,0)</f>
        <v>483512711</v>
      </c>
      <c r="J302" s="260"/>
      <c r="K302" s="263">
        <f t="shared" si="248"/>
        <v>253263958</v>
      </c>
      <c r="L302" s="222"/>
      <c r="M302" s="263">
        <f t="shared" si="249"/>
        <v>139686822</v>
      </c>
      <c r="N302" s="263"/>
      <c r="O302" s="263">
        <f t="shared" si="250"/>
        <v>37859045</v>
      </c>
      <c r="P302" s="263"/>
      <c r="Q302" s="263">
        <f t="shared" si="251"/>
        <v>37230479</v>
      </c>
      <c r="R302" s="263"/>
      <c r="S302" s="263">
        <f t="shared" si="252"/>
        <v>0</v>
      </c>
      <c r="T302" s="263"/>
      <c r="U302" s="248">
        <f t="shared" si="253"/>
        <v>15472407</v>
      </c>
      <c r="V302" s="263"/>
      <c r="W302" s="263">
        <f>ROUND(VLOOKUP($G302,factors,+W$376)*$I302,0)</f>
        <v>0</v>
      </c>
      <c r="X302" s="263"/>
      <c r="Y302" s="263">
        <f>ROUND(VLOOKUP($G302,factors,+Y$376)*$I302,0)</f>
        <v>0</v>
      </c>
      <c r="Z302" s="263"/>
      <c r="AA302" s="263">
        <f>ROUND(VLOOKUP($G302,factors,+AA$376)*$I302,0)</f>
        <v>0</v>
      </c>
      <c r="AB302" s="263"/>
      <c r="AC302" s="263">
        <f>ROUND(VLOOKUP($G302,factors,+AC$376)*$I302,0)</f>
        <v>0</v>
      </c>
      <c r="AD302" s="263"/>
      <c r="AE302" s="263">
        <f>ROUND(VLOOKUP($G302,factors,+AE$376)*$I302,0)</f>
        <v>0</v>
      </c>
      <c r="AF302" s="263"/>
      <c r="AG302" s="263">
        <f>ROUND(VLOOKUP($G302,factors,+AG$376)*$I302,0)</f>
        <v>0</v>
      </c>
      <c r="AH302" s="222"/>
      <c r="AI302" s="157">
        <f t="shared" si="199"/>
        <v>0</v>
      </c>
      <c r="AJ302" s="222"/>
      <c r="AK302" s="222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  <c r="IW302" s="104"/>
      <c r="IX302" s="104"/>
      <c r="IY302" s="104"/>
      <c r="IZ302" s="104"/>
      <c r="JA302" s="104"/>
      <c r="JB302" s="104"/>
      <c r="JC302" s="104"/>
      <c r="JD302" s="104"/>
      <c r="JE302" s="104"/>
      <c r="JF302" s="104"/>
      <c r="JG302" s="104"/>
      <c r="JH302" s="104"/>
      <c r="JI302" s="104"/>
      <c r="JJ302" s="104"/>
      <c r="JK302" s="104"/>
      <c r="JL302" s="104"/>
      <c r="JM302" s="104"/>
      <c r="JN302" s="104"/>
      <c r="JO302" s="104"/>
      <c r="JP302" s="104"/>
      <c r="JQ302" s="104"/>
      <c r="JR302" s="104"/>
      <c r="JS302" s="104"/>
      <c r="JT302" s="104"/>
      <c r="JU302" s="104"/>
      <c r="JV302" s="104"/>
      <c r="JW302" s="104"/>
      <c r="JX302" s="104"/>
      <c r="JY302" s="104"/>
      <c r="JZ302" s="104"/>
      <c r="KA302" s="104"/>
      <c r="KB302" s="104"/>
      <c r="KC302" s="104"/>
      <c r="KD302" s="104"/>
      <c r="KE302" s="104"/>
      <c r="KF302" s="104"/>
      <c r="KG302" s="104"/>
      <c r="KH302" s="104"/>
      <c r="KI302" s="104"/>
      <c r="KJ302" s="104"/>
      <c r="KK302" s="104"/>
      <c r="KL302" s="104"/>
      <c r="KM302" s="104"/>
      <c r="KN302" s="104"/>
      <c r="KO302" s="104"/>
      <c r="KP302" s="104"/>
      <c r="KQ302" s="104"/>
      <c r="KR302" s="104"/>
      <c r="KS302" s="104"/>
      <c r="KT302" s="104"/>
      <c r="KU302" s="104"/>
      <c r="KV302" s="104"/>
      <c r="KW302" s="104"/>
      <c r="KX302" s="104"/>
      <c r="KY302" s="104"/>
      <c r="KZ302" s="104"/>
      <c r="LA302" s="104"/>
      <c r="LB302" s="104"/>
      <c r="LC302" s="104"/>
      <c r="LD302" s="104"/>
      <c r="LE302" s="104"/>
      <c r="LF302" s="104"/>
      <c r="LG302" s="104"/>
      <c r="LH302" s="104"/>
      <c r="LI302" s="104"/>
      <c r="LJ302" s="104"/>
      <c r="LK302" s="104"/>
      <c r="LL302" s="104"/>
      <c r="LM302" s="104"/>
      <c r="LN302" s="104"/>
      <c r="LO302" s="104"/>
      <c r="LP302" s="104"/>
      <c r="LQ302" s="104"/>
      <c r="LR302" s="104"/>
      <c r="LS302" s="104"/>
      <c r="LT302" s="104"/>
      <c r="LU302" s="104"/>
      <c r="LV302" s="104"/>
      <c r="LW302" s="104"/>
      <c r="LX302" s="104"/>
      <c r="LY302" s="104"/>
      <c r="LZ302" s="104"/>
      <c r="MA302" s="104"/>
      <c r="MB302" s="104"/>
      <c r="MC302" s="104"/>
      <c r="MD302" s="104"/>
      <c r="ME302" s="104"/>
      <c r="MF302" s="104"/>
      <c r="MG302" s="104"/>
      <c r="MH302" s="104"/>
      <c r="MI302" s="104"/>
      <c r="MJ302" s="104"/>
      <c r="MK302" s="104"/>
      <c r="ML302" s="104"/>
      <c r="MM302" s="104"/>
      <c r="MN302" s="104"/>
      <c r="MO302" s="104"/>
      <c r="MP302" s="104"/>
      <c r="MQ302" s="104"/>
      <c r="MR302" s="104"/>
      <c r="MS302" s="104"/>
      <c r="MT302" s="104"/>
      <c r="MU302" s="104"/>
      <c r="MV302" s="104"/>
      <c r="MW302" s="104"/>
      <c r="MX302" s="104"/>
      <c r="MY302" s="104"/>
      <c r="MZ302" s="104"/>
      <c r="NA302" s="104"/>
      <c r="NB302" s="104"/>
      <c r="NC302" s="104"/>
      <c r="ND302" s="104"/>
      <c r="NE302" s="104"/>
      <c r="NF302" s="104"/>
      <c r="NG302" s="104"/>
      <c r="NH302" s="104"/>
      <c r="NI302" s="104"/>
      <c r="NJ302" s="104"/>
      <c r="NK302" s="104"/>
      <c r="NL302" s="104"/>
      <c r="NM302" s="104"/>
      <c r="NN302" s="104"/>
      <c r="NO302" s="104"/>
      <c r="NP302" s="104"/>
      <c r="NQ302" s="104"/>
      <c r="NR302" s="104"/>
      <c r="NS302" s="104"/>
      <c r="NT302" s="104"/>
      <c r="NU302" s="104"/>
      <c r="NV302" s="104"/>
      <c r="NW302" s="104"/>
      <c r="NX302" s="104"/>
      <c r="NY302" s="104"/>
      <c r="NZ302" s="104"/>
      <c r="OA302" s="104"/>
      <c r="OB302" s="104"/>
      <c r="OC302" s="104"/>
      <c r="OD302" s="104"/>
      <c r="OE302" s="104"/>
      <c r="OF302" s="104"/>
      <c r="OG302" s="104"/>
      <c r="OH302" s="104"/>
      <c r="OI302" s="104"/>
      <c r="OJ302" s="104"/>
      <c r="OK302" s="104"/>
      <c r="OL302" s="104"/>
      <c r="OM302" s="104"/>
      <c r="ON302" s="104"/>
      <c r="OO302" s="104"/>
      <c r="OP302" s="104"/>
      <c r="OQ302" s="104"/>
      <c r="OR302" s="104"/>
      <c r="OS302" s="104"/>
      <c r="OT302" s="104"/>
      <c r="OU302" s="104"/>
      <c r="OV302" s="104"/>
      <c r="OW302" s="104"/>
      <c r="OX302" s="104"/>
      <c r="OY302" s="104"/>
      <c r="OZ302" s="104"/>
      <c r="PA302" s="104"/>
      <c r="PB302" s="104"/>
      <c r="PC302" s="104"/>
      <c r="PD302" s="104"/>
      <c r="PE302" s="104"/>
      <c r="PF302" s="104"/>
      <c r="PG302" s="104"/>
      <c r="PH302" s="104"/>
      <c r="PI302" s="104"/>
      <c r="PJ302" s="104"/>
      <c r="PK302" s="104"/>
      <c r="PL302" s="104"/>
      <c r="PM302" s="104"/>
      <c r="PN302" s="104"/>
      <c r="PO302" s="104"/>
      <c r="PP302" s="104"/>
      <c r="PQ302" s="104"/>
      <c r="PR302" s="104"/>
      <c r="PS302" s="104"/>
      <c r="PT302" s="104"/>
      <c r="PU302" s="104"/>
      <c r="PV302" s="104"/>
      <c r="PW302" s="104"/>
      <c r="PX302" s="104"/>
      <c r="PY302" s="104"/>
      <c r="PZ302" s="104"/>
      <c r="QA302" s="104"/>
      <c r="QB302" s="104"/>
      <c r="QC302" s="104"/>
      <c r="QD302" s="104"/>
      <c r="QE302" s="104"/>
      <c r="QF302" s="104"/>
      <c r="QG302" s="104"/>
      <c r="QH302" s="104"/>
      <c r="QI302" s="104"/>
      <c r="QJ302" s="104"/>
      <c r="QK302" s="104"/>
      <c r="QL302" s="104"/>
      <c r="QM302" s="104"/>
      <c r="QN302" s="104"/>
      <c r="QO302" s="104"/>
      <c r="QP302" s="104"/>
      <c r="QQ302" s="104"/>
      <c r="QR302" s="104"/>
      <c r="QS302" s="104"/>
      <c r="QT302" s="104"/>
      <c r="QU302" s="104"/>
      <c r="QV302" s="104"/>
      <c r="QW302" s="104"/>
      <c r="QX302" s="104"/>
      <c r="QY302" s="104"/>
      <c r="QZ302" s="104"/>
      <c r="RA302" s="104"/>
      <c r="RB302" s="104"/>
      <c r="RC302" s="104"/>
      <c r="RD302" s="104"/>
      <c r="RE302" s="104"/>
      <c r="RF302" s="104"/>
      <c r="RG302" s="104"/>
      <c r="RH302" s="104"/>
      <c r="RI302" s="104"/>
      <c r="RJ302" s="104"/>
      <c r="RK302" s="104"/>
      <c r="RL302" s="104"/>
      <c r="RM302" s="104"/>
      <c r="RN302" s="104"/>
      <c r="RO302" s="104"/>
      <c r="RP302" s="104"/>
      <c r="RQ302" s="104"/>
      <c r="RR302" s="104"/>
      <c r="RS302" s="104"/>
      <c r="RT302" s="104"/>
      <c r="RU302" s="104"/>
      <c r="RV302" s="104"/>
      <c r="RW302" s="104"/>
      <c r="RX302" s="104"/>
      <c r="RY302" s="104"/>
      <c r="RZ302" s="104"/>
      <c r="SA302" s="104"/>
      <c r="SB302" s="104"/>
      <c r="SC302" s="104"/>
      <c r="SD302" s="104"/>
      <c r="SE302" s="104"/>
      <c r="SF302" s="104"/>
      <c r="SG302" s="104"/>
      <c r="SH302" s="104"/>
      <c r="SI302" s="104"/>
      <c r="SJ302" s="104"/>
      <c r="SK302" s="104"/>
      <c r="SL302" s="104"/>
      <c r="SM302" s="104"/>
      <c r="SN302" s="104"/>
      <c r="SO302" s="104"/>
      <c r="SP302" s="104"/>
      <c r="SQ302" s="104"/>
      <c r="SR302" s="104"/>
      <c r="SS302" s="104"/>
      <c r="ST302" s="104"/>
      <c r="SU302" s="104"/>
      <c r="SV302" s="104"/>
      <c r="SW302" s="104"/>
      <c r="SX302" s="104"/>
      <c r="SY302" s="104"/>
      <c r="SZ302" s="104"/>
      <c r="TA302" s="104"/>
      <c r="TB302" s="104"/>
      <c r="TC302" s="104"/>
      <c r="TD302" s="104"/>
      <c r="TE302" s="104"/>
      <c r="TF302" s="104"/>
      <c r="TG302" s="104"/>
      <c r="TH302" s="104"/>
      <c r="TI302" s="104"/>
      <c r="TJ302" s="104"/>
      <c r="TK302" s="104"/>
      <c r="TL302" s="104"/>
      <c r="TM302" s="104"/>
      <c r="TN302" s="104"/>
      <c r="TO302" s="104"/>
      <c r="TP302" s="104"/>
      <c r="TQ302" s="104"/>
      <c r="TR302" s="104"/>
      <c r="TS302" s="104"/>
      <c r="TT302" s="104"/>
      <c r="TU302" s="104"/>
      <c r="TV302" s="104"/>
      <c r="TW302" s="104"/>
      <c r="TX302" s="104"/>
      <c r="TY302" s="104"/>
      <c r="TZ302" s="104"/>
      <c r="UA302" s="104"/>
      <c r="UB302" s="104"/>
      <c r="UC302" s="104"/>
      <c r="UD302" s="104"/>
      <c r="UE302" s="104"/>
      <c r="UF302" s="104"/>
      <c r="UG302" s="104"/>
      <c r="UH302" s="104"/>
      <c r="UI302" s="104"/>
      <c r="UJ302" s="104"/>
      <c r="UK302" s="104"/>
      <c r="UL302" s="104"/>
      <c r="UM302" s="104"/>
      <c r="UN302" s="104"/>
      <c r="UO302" s="104"/>
      <c r="UP302" s="104"/>
      <c r="UQ302" s="104"/>
      <c r="UR302" s="104"/>
      <c r="US302" s="104"/>
      <c r="UT302" s="104"/>
      <c r="UU302" s="104"/>
      <c r="UV302" s="104"/>
      <c r="UW302" s="104"/>
      <c r="UX302" s="104"/>
      <c r="UY302" s="104"/>
      <c r="UZ302" s="104"/>
      <c r="VA302" s="104"/>
      <c r="VB302" s="104"/>
      <c r="VC302" s="104"/>
      <c r="VD302" s="104"/>
      <c r="VE302" s="104"/>
      <c r="VF302" s="104"/>
      <c r="VG302" s="104"/>
      <c r="VH302" s="104"/>
      <c r="VI302" s="104"/>
      <c r="VJ302" s="104"/>
      <c r="VK302" s="104"/>
      <c r="VL302" s="104"/>
      <c r="VM302" s="104"/>
      <c r="VN302" s="104"/>
      <c r="VO302" s="104"/>
      <c r="VP302" s="104"/>
      <c r="VQ302" s="104"/>
      <c r="VR302" s="104"/>
      <c r="VS302" s="104"/>
      <c r="VT302" s="104"/>
      <c r="VU302" s="104"/>
      <c r="VV302" s="104"/>
      <c r="VW302" s="104"/>
      <c r="VX302" s="104"/>
      <c r="VY302" s="104"/>
      <c r="VZ302" s="104"/>
      <c r="WA302" s="104"/>
      <c r="WB302" s="104"/>
      <c r="WC302" s="104"/>
      <c r="WD302" s="104"/>
      <c r="WE302" s="104"/>
      <c r="WF302" s="104"/>
      <c r="WG302" s="104"/>
      <c r="WH302" s="104"/>
      <c r="WI302" s="104"/>
      <c r="WJ302" s="104"/>
      <c r="WK302" s="104"/>
      <c r="WL302" s="104"/>
      <c r="WM302" s="104"/>
      <c r="WN302" s="104"/>
      <c r="WO302" s="104"/>
      <c r="WP302" s="104"/>
      <c r="WQ302" s="104"/>
      <c r="WR302" s="104"/>
      <c r="WS302" s="104"/>
      <c r="WT302" s="104"/>
      <c r="WU302" s="104"/>
      <c r="WV302" s="104"/>
      <c r="WW302" s="104"/>
      <c r="WX302" s="104"/>
      <c r="WY302" s="104"/>
      <c r="WZ302" s="104"/>
      <c r="XA302" s="104"/>
      <c r="XB302" s="104"/>
      <c r="XC302" s="104"/>
      <c r="XD302" s="104"/>
      <c r="XE302" s="104"/>
      <c r="XF302" s="104"/>
      <c r="XG302" s="104"/>
      <c r="XH302" s="104"/>
      <c r="XI302" s="104"/>
      <c r="XJ302" s="104"/>
      <c r="XK302" s="104"/>
      <c r="XL302" s="104"/>
      <c r="XM302" s="104"/>
      <c r="XN302" s="104"/>
      <c r="XO302" s="104"/>
      <c r="XP302" s="104"/>
      <c r="XQ302" s="104"/>
      <c r="XR302" s="104"/>
      <c r="XS302" s="104"/>
      <c r="XT302" s="104"/>
      <c r="XU302" s="104"/>
      <c r="XV302" s="104"/>
      <c r="XW302" s="104"/>
      <c r="XX302" s="104"/>
      <c r="XY302" s="104"/>
      <c r="XZ302" s="104"/>
      <c r="YA302" s="104"/>
      <c r="YB302" s="104"/>
      <c r="YC302" s="104"/>
      <c r="YD302" s="104"/>
      <c r="YE302" s="104"/>
      <c r="YF302" s="104"/>
      <c r="YG302" s="104"/>
      <c r="YH302" s="104"/>
      <c r="YI302" s="104"/>
      <c r="YJ302" s="104"/>
      <c r="YK302" s="104"/>
      <c r="YL302" s="104"/>
      <c r="YM302" s="104"/>
      <c r="YN302" s="104"/>
      <c r="YO302" s="104"/>
      <c r="YP302" s="104"/>
      <c r="YQ302" s="104"/>
      <c r="YR302" s="104"/>
      <c r="YS302" s="104"/>
      <c r="YT302" s="104"/>
      <c r="YU302" s="104"/>
      <c r="YV302" s="104"/>
      <c r="YW302" s="104"/>
      <c r="YX302" s="104"/>
      <c r="YY302" s="104"/>
      <c r="YZ302" s="104"/>
      <c r="ZA302" s="104"/>
      <c r="ZB302" s="104"/>
      <c r="ZC302" s="104"/>
      <c r="ZD302" s="104"/>
      <c r="ZE302" s="104"/>
      <c r="ZF302" s="104"/>
      <c r="ZG302" s="104"/>
      <c r="ZH302" s="104"/>
      <c r="ZI302" s="104"/>
      <c r="ZJ302" s="104"/>
      <c r="ZK302" s="104"/>
      <c r="ZL302" s="104"/>
      <c r="ZM302" s="104"/>
      <c r="ZN302" s="104"/>
      <c r="ZO302" s="104"/>
      <c r="ZP302" s="104"/>
      <c r="ZQ302" s="104"/>
      <c r="ZR302" s="104"/>
      <c r="ZS302" s="104"/>
      <c r="ZT302" s="104"/>
      <c r="ZU302" s="104"/>
      <c r="ZV302" s="104"/>
      <c r="ZW302" s="104"/>
      <c r="ZX302" s="104"/>
      <c r="ZY302" s="104"/>
      <c r="ZZ302" s="104"/>
      <c r="AAA302" s="104"/>
      <c r="AAB302" s="104"/>
      <c r="AAC302" s="104"/>
      <c r="AAD302" s="104"/>
      <c r="AAE302" s="104"/>
      <c r="AAF302" s="104"/>
      <c r="AAG302" s="104"/>
      <c r="AAH302" s="104"/>
      <c r="AAI302" s="104"/>
      <c r="AAJ302" s="104"/>
      <c r="AAK302" s="104"/>
      <c r="AAL302" s="104"/>
      <c r="AAM302" s="104"/>
      <c r="AAN302" s="104"/>
      <c r="AAO302" s="104"/>
      <c r="AAP302" s="104"/>
      <c r="AAQ302" s="104"/>
      <c r="AAR302" s="104"/>
      <c r="AAS302" s="104"/>
      <c r="AAT302" s="104"/>
      <c r="AAU302" s="104"/>
      <c r="AAV302" s="104"/>
      <c r="AAW302" s="104"/>
      <c r="AAX302" s="104"/>
      <c r="AAY302" s="104"/>
      <c r="AAZ302" s="104"/>
      <c r="ABA302" s="104"/>
      <c r="ABB302" s="104"/>
      <c r="ABC302" s="104"/>
      <c r="ABD302" s="104"/>
      <c r="ABE302" s="104"/>
      <c r="ABF302" s="104"/>
      <c r="ABG302" s="104"/>
      <c r="ABH302" s="104"/>
      <c r="ABI302" s="104"/>
      <c r="ABJ302" s="104"/>
      <c r="ABK302" s="104"/>
      <c r="ABL302" s="104"/>
      <c r="ABM302" s="104"/>
      <c r="ABN302" s="104"/>
      <c r="ABO302" s="104"/>
      <c r="ABP302" s="104"/>
      <c r="ABQ302" s="104"/>
      <c r="ABR302" s="104"/>
      <c r="ABS302" s="104"/>
    </row>
    <row r="303" spans="1:747" s="122" customFormat="1" ht="15" customHeight="1">
      <c r="A303" s="435">
        <f>+('Linkin (2)'!A$48-Alloc!A$304)*Alloc!B68</f>
        <v>1152427151.6619</v>
      </c>
      <c r="B303" s="260"/>
      <c r="C303" s="392"/>
      <c r="D303" s="260"/>
      <c r="E303" s="260" t="s">
        <v>392</v>
      </c>
      <c r="F303" s="222"/>
      <c r="G303" s="392">
        <v>4</v>
      </c>
      <c r="H303" s="222"/>
      <c r="I303" s="285">
        <f>ROUND(A303*'Linkin (2)'!$A$49,0)</f>
        <v>891274639</v>
      </c>
      <c r="J303" s="260"/>
      <c r="K303" s="263">
        <f t="shared" si="248"/>
        <v>466849656</v>
      </c>
      <c r="L303" s="222"/>
      <c r="M303" s="263">
        <f t="shared" si="249"/>
        <v>257489243</v>
      </c>
      <c r="N303" s="263"/>
      <c r="O303" s="263">
        <f t="shared" si="250"/>
        <v>69786804</v>
      </c>
      <c r="P303" s="263"/>
      <c r="Q303" s="263">
        <f t="shared" si="251"/>
        <v>68628147</v>
      </c>
      <c r="R303" s="263"/>
      <c r="S303" s="263">
        <f t="shared" si="252"/>
        <v>0</v>
      </c>
      <c r="T303" s="263"/>
      <c r="U303" s="248">
        <f t="shared" si="253"/>
        <v>28520788</v>
      </c>
      <c r="V303" s="263"/>
      <c r="W303" s="263"/>
      <c r="X303" s="263"/>
      <c r="Y303" s="263"/>
      <c r="Z303" s="263"/>
      <c r="AA303" s="263"/>
      <c r="AB303" s="263"/>
      <c r="AC303" s="263"/>
      <c r="AD303" s="263"/>
      <c r="AE303" s="263"/>
      <c r="AF303" s="263"/>
      <c r="AG303" s="263"/>
      <c r="AH303" s="222"/>
      <c r="AI303" s="157">
        <f t="shared" si="199"/>
        <v>-1</v>
      </c>
      <c r="AJ303" s="222"/>
      <c r="AK303" s="222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  <c r="IP303" s="104"/>
      <c r="IQ303" s="104"/>
      <c r="IR303" s="104"/>
      <c r="IS303" s="104"/>
      <c r="IT303" s="104"/>
      <c r="IU303" s="104"/>
      <c r="IV303" s="104"/>
      <c r="IW303" s="104"/>
      <c r="IX303" s="104"/>
      <c r="IY303" s="104"/>
      <c r="IZ303" s="104"/>
      <c r="JA303" s="104"/>
      <c r="JB303" s="104"/>
      <c r="JC303" s="104"/>
      <c r="JD303" s="104"/>
      <c r="JE303" s="104"/>
      <c r="JF303" s="104"/>
      <c r="JG303" s="104"/>
      <c r="JH303" s="104"/>
      <c r="JI303" s="104"/>
      <c r="JJ303" s="104"/>
      <c r="JK303" s="104"/>
      <c r="JL303" s="104"/>
      <c r="JM303" s="104"/>
      <c r="JN303" s="104"/>
      <c r="JO303" s="104"/>
      <c r="JP303" s="104"/>
      <c r="JQ303" s="104"/>
      <c r="JR303" s="104"/>
      <c r="JS303" s="104"/>
      <c r="JT303" s="104"/>
      <c r="JU303" s="104"/>
      <c r="JV303" s="104"/>
      <c r="JW303" s="104"/>
      <c r="JX303" s="104"/>
      <c r="JY303" s="104"/>
      <c r="JZ303" s="104"/>
      <c r="KA303" s="104"/>
      <c r="KB303" s="104"/>
      <c r="KC303" s="104"/>
      <c r="KD303" s="104"/>
      <c r="KE303" s="104"/>
      <c r="KF303" s="104"/>
      <c r="KG303" s="104"/>
      <c r="KH303" s="104"/>
      <c r="KI303" s="104"/>
      <c r="KJ303" s="104"/>
      <c r="KK303" s="104"/>
      <c r="KL303" s="104"/>
      <c r="KM303" s="104"/>
      <c r="KN303" s="104"/>
      <c r="KO303" s="104"/>
      <c r="KP303" s="104"/>
      <c r="KQ303" s="104"/>
      <c r="KR303" s="104"/>
      <c r="KS303" s="104"/>
      <c r="KT303" s="104"/>
      <c r="KU303" s="104"/>
      <c r="KV303" s="104"/>
      <c r="KW303" s="104"/>
      <c r="KX303" s="104"/>
      <c r="KY303" s="104"/>
      <c r="KZ303" s="104"/>
      <c r="LA303" s="104"/>
      <c r="LB303" s="104"/>
      <c r="LC303" s="104"/>
      <c r="LD303" s="104"/>
      <c r="LE303" s="104"/>
      <c r="LF303" s="104"/>
      <c r="LG303" s="104"/>
      <c r="LH303" s="104"/>
      <c r="LI303" s="104"/>
      <c r="LJ303" s="104"/>
      <c r="LK303" s="104"/>
      <c r="LL303" s="104"/>
      <c r="LM303" s="104"/>
      <c r="LN303" s="104"/>
      <c r="LO303" s="104"/>
      <c r="LP303" s="104"/>
      <c r="LQ303" s="104"/>
      <c r="LR303" s="104"/>
      <c r="LS303" s="104"/>
      <c r="LT303" s="104"/>
      <c r="LU303" s="104"/>
      <c r="LV303" s="104"/>
      <c r="LW303" s="104"/>
      <c r="LX303" s="104"/>
      <c r="LY303" s="104"/>
      <c r="LZ303" s="104"/>
      <c r="MA303" s="104"/>
      <c r="MB303" s="104"/>
      <c r="MC303" s="104"/>
      <c r="MD303" s="104"/>
      <c r="ME303" s="104"/>
      <c r="MF303" s="104"/>
      <c r="MG303" s="104"/>
      <c r="MH303" s="104"/>
      <c r="MI303" s="104"/>
      <c r="MJ303" s="104"/>
      <c r="MK303" s="104"/>
      <c r="ML303" s="104"/>
      <c r="MM303" s="104"/>
      <c r="MN303" s="104"/>
      <c r="MO303" s="104"/>
      <c r="MP303" s="104"/>
      <c r="MQ303" s="104"/>
      <c r="MR303" s="104"/>
      <c r="MS303" s="104"/>
      <c r="MT303" s="104"/>
      <c r="MU303" s="104"/>
      <c r="MV303" s="104"/>
      <c r="MW303" s="104"/>
      <c r="MX303" s="104"/>
      <c r="MY303" s="104"/>
      <c r="MZ303" s="104"/>
      <c r="NA303" s="104"/>
      <c r="NB303" s="104"/>
      <c r="NC303" s="104"/>
      <c r="ND303" s="104"/>
      <c r="NE303" s="104"/>
      <c r="NF303" s="104"/>
      <c r="NG303" s="104"/>
      <c r="NH303" s="104"/>
      <c r="NI303" s="104"/>
      <c r="NJ303" s="104"/>
      <c r="NK303" s="104"/>
      <c r="NL303" s="104"/>
      <c r="NM303" s="104"/>
      <c r="NN303" s="104"/>
      <c r="NO303" s="104"/>
      <c r="NP303" s="104"/>
      <c r="NQ303" s="104"/>
      <c r="NR303" s="104"/>
      <c r="NS303" s="104"/>
      <c r="NT303" s="104"/>
      <c r="NU303" s="104"/>
      <c r="NV303" s="104"/>
      <c r="NW303" s="104"/>
      <c r="NX303" s="104"/>
      <c r="NY303" s="104"/>
      <c r="NZ303" s="104"/>
      <c r="OA303" s="104"/>
      <c r="OB303" s="104"/>
      <c r="OC303" s="104"/>
      <c r="OD303" s="104"/>
      <c r="OE303" s="104"/>
      <c r="OF303" s="104"/>
      <c r="OG303" s="104"/>
      <c r="OH303" s="104"/>
      <c r="OI303" s="104"/>
      <c r="OJ303" s="104"/>
      <c r="OK303" s="104"/>
      <c r="OL303" s="104"/>
      <c r="OM303" s="104"/>
      <c r="ON303" s="104"/>
      <c r="OO303" s="104"/>
      <c r="OP303" s="104"/>
      <c r="OQ303" s="104"/>
      <c r="OR303" s="104"/>
      <c r="OS303" s="104"/>
      <c r="OT303" s="104"/>
      <c r="OU303" s="104"/>
      <c r="OV303" s="104"/>
      <c r="OW303" s="104"/>
      <c r="OX303" s="104"/>
      <c r="OY303" s="104"/>
      <c r="OZ303" s="104"/>
      <c r="PA303" s="104"/>
      <c r="PB303" s="104"/>
      <c r="PC303" s="104"/>
      <c r="PD303" s="104"/>
      <c r="PE303" s="104"/>
      <c r="PF303" s="104"/>
      <c r="PG303" s="104"/>
      <c r="PH303" s="104"/>
      <c r="PI303" s="104"/>
      <c r="PJ303" s="104"/>
      <c r="PK303" s="104"/>
      <c r="PL303" s="104"/>
      <c r="PM303" s="104"/>
      <c r="PN303" s="104"/>
      <c r="PO303" s="104"/>
      <c r="PP303" s="104"/>
      <c r="PQ303" s="104"/>
      <c r="PR303" s="104"/>
      <c r="PS303" s="104"/>
      <c r="PT303" s="104"/>
      <c r="PU303" s="104"/>
      <c r="PV303" s="104"/>
      <c r="PW303" s="104"/>
      <c r="PX303" s="104"/>
      <c r="PY303" s="104"/>
      <c r="PZ303" s="104"/>
      <c r="QA303" s="104"/>
      <c r="QB303" s="104"/>
      <c r="QC303" s="104"/>
      <c r="QD303" s="104"/>
      <c r="QE303" s="104"/>
      <c r="QF303" s="104"/>
      <c r="QG303" s="104"/>
      <c r="QH303" s="104"/>
      <c r="QI303" s="104"/>
      <c r="QJ303" s="104"/>
      <c r="QK303" s="104"/>
      <c r="QL303" s="104"/>
      <c r="QM303" s="104"/>
      <c r="QN303" s="104"/>
      <c r="QO303" s="104"/>
      <c r="QP303" s="104"/>
      <c r="QQ303" s="104"/>
      <c r="QR303" s="104"/>
      <c r="QS303" s="104"/>
      <c r="QT303" s="104"/>
      <c r="QU303" s="104"/>
      <c r="QV303" s="104"/>
      <c r="QW303" s="104"/>
      <c r="QX303" s="104"/>
      <c r="QY303" s="104"/>
      <c r="QZ303" s="104"/>
      <c r="RA303" s="104"/>
      <c r="RB303" s="104"/>
      <c r="RC303" s="104"/>
      <c r="RD303" s="104"/>
      <c r="RE303" s="104"/>
      <c r="RF303" s="104"/>
      <c r="RG303" s="104"/>
      <c r="RH303" s="104"/>
      <c r="RI303" s="104"/>
      <c r="RJ303" s="104"/>
      <c r="RK303" s="104"/>
      <c r="RL303" s="104"/>
      <c r="RM303" s="104"/>
      <c r="RN303" s="104"/>
      <c r="RO303" s="104"/>
      <c r="RP303" s="104"/>
      <c r="RQ303" s="104"/>
      <c r="RR303" s="104"/>
      <c r="RS303" s="104"/>
      <c r="RT303" s="104"/>
      <c r="RU303" s="104"/>
      <c r="RV303" s="104"/>
      <c r="RW303" s="104"/>
      <c r="RX303" s="104"/>
      <c r="RY303" s="104"/>
      <c r="RZ303" s="104"/>
      <c r="SA303" s="104"/>
      <c r="SB303" s="104"/>
      <c r="SC303" s="104"/>
      <c r="SD303" s="104"/>
      <c r="SE303" s="104"/>
      <c r="SF303" s="104"/>
      <c r="SG303" s="104"/>
      <c r="SH303" s="104"/>
      <c r="SI303" s="104"/>
      <c r="SJ303" s="104"/>
      <c r="SK303" s="104"/>
      <c r="SL303" s="104"/>
      <c r="SM303" s="104"/>
      <c r="SN303" s="104"/>
      <c r="SO303" s="104"/>
      <c r="SP303" s="104"/>
      <c r="SQ303" s="104"/>
      <c r="SR303" s="104"/>
      <c r="SS303" s="104"/>
      <c r="ST303" s="104"/>
      <c r="SU303" s="104"/>
      <c r="SV303" s="104"/>
      <c r="SW303" s="104"/>
      <c r="SX303" s="104"/>
      <c r="SY303" s="104"/>
      <c r="SZ303" s="104"/>
      <c r="TA303" s="104"/>
      <c r="TB303" s="104"/>
      <c r="TC303" s="104"/>
      <c r="TD303" s="104"/>
      <c r="TE303" s="104"/>
      <c r="TF303" s="104"/>
      <c r="TG303" s="104"/>
      <c r="TH303" s="104"/>
      <c r="TI303" s="104"/>
      <c r="TJ303" s="104"/>
      <c r="TK303" s="104"/>
      <c r="TL303" s="104"/>
      <c r="TM303" s="104"/>
      <c r="TN303" s="104"/>
      <c r="TO303" s="104"/>
      <c r="TP303" s="104"/>
      <c r="TQ303" s="104"/>
      <c r="TR303" s="104"/>
      <c r="TS303" s="104"/>
      <c r="TT303" s="104"/>
      <c r="TU303" s="104"/>
      <c r="TV303" s="104"/>
      <c r="TW303" s="104"/>
      <c r="TX303" s="104"/>
      <c r="TY303" s="104"/>
      <c r="TZ303" s="104"/>
      <c r="UA303" s="104"/>
      <c r="UB303" s="104"/>
      <c r="UC303" s="104"/>
      <c r="UD303" s="104"/>
      <c r="UE303" s="104"/>
      <c r="UF303" s="104"/>
      <c r="UG303" s="104"/>
      <c r="UH303" s="104"/>
      <c r="UI303" s="104"/>
      <c r="UJ303" s="104"/>
      <c r="UK303" s="104"/>
      <c r="UL303" s="104"/>
      <c r="UM303" s="104"/>
      <c r="UN303" s="104"/>
      <c r="UO303" s="104"/>
      <c r="UP303" s="104"/>
      <c r="UQ303" s="104"/>
      <c r="UR303" s="104"/>
      <c r="US303" s="104"/>
      <c r="UT303" s="104"/>
      <c r="UU303" s="104"/>
      <c r="UV303" s="104"/>
      <c r="UW303" s="104"/>
      <c r="UX303" s="104"/>
      <c r="UY303" s="104"/>
      <c r="UZ303" s="104"/>
      <c r="VA303" s="104"/>
      <c r="VB303" s="104"/>
      <c r="VC303" s="104"/>
      <c r="VD303" s="104"/>
      <c r="VE303" s="104"/>
      <c r="VF303" s="104"/>
      <c r="VG303" s="104"/>
      <c r="VH303" s="104"/>
      <c r="VI303" s="104"/>
      <c r="VJ303" s="104"/>
      <c r="VK303" s="104"/>
      <c r="VL303" s="104"/>
      <c r="VM303" s="104"/>
      <c r="VN303" s="104"/>
      <c r="VO303" s="104"/>
      <c r="VP303" s="104"/>
      <c r="VQ303" s="104"/>
      <c r="VR303" s="104"/>
      <c r="VS303" s="104"/>
      <c r="VT303" s="104"/>
      <c r="VU303" s="104"/>
      <c r="VV303" s="104"/>
      <c r="VW303" s="104"/>
      <c r="VX303" s="104"/>
      <c r="VY303" s="104"/>
      <c r="VZ303" s="104"/>
      <c r="WA303" s="104"/>
      <c r="WB303" s="104"/>
      <c r="WC303" s="104"/>
      <c r="WD303" s="104"/>
      <c r="WE303" s="104"/>
      <c r="WF303" s="104"/>
      <c r="WG303" s="104"/>
      <c r="WH303" s="104"/>
      <c r="WI303" s="104"/>
      <c r="WJ303" s="104"/>
      <c r="WK303" s="104"/>
      <c r="WL303" s="104"/>
      <c r="WM303" s="104"/>
      <c r="WN303" s="104"/>
      <c r="WO303" s="104"/>
      <c r="WP303" s="104"/>
      <c r="WQ303" s="104"/>
      <c r="WR303" s="104"/>
      <c r="WS303" s="104"/>
      <c r="WT303" s="104"/>
      <c r="WU303" s="104"/>
      <c r="WV303" s="104"/>
      <c r="WW303" s="104"/>
      <c r="WX303" s="104"/>
      <c r="WY303" s="104"/>
      <c r="WZ303" s="104"/>
      <c r="XA303" s="104"/>
      <c r="XB303" s="104"/>
      <c r="XC303" s="104"/>
      <c r="XD303" s="104"/>
      <c r="XE303" s="104"/>
      <c r="XF303" s="104"/>
      <c r="XG303" s="104"/>
      <c r="XH303" s="104"/>
      <c r="XI303" s="104"/>
      <c r="XJ303" s="104"/>
      <c r="XK303" s="104"/>
      <c r="XL303" s="104"/>
      <c r="XM303" s="104"/>
      <c r="XN303" s="104"/>
      <c r="XO303" s="104"/>
      <c r="XP303" s="104"/>
      <c r="XQ303" s="104"/>
      <c r="XR303" s="104"/>
      <c r="XS303" s="104"/>
      <c r="XT303" s="104"/>
      <c r="XU303" s="104"/>
      <c r="XV303" s="104"/>
      <c r="XW303" s="104"/>
      <c r="XX303" s="104"/>
      <c r="XY303" s="104"/>
      <c r="XZ303" s="104"/>
      <c r="YA303" s="104"/>
      <c r="YB303" s="104"/>
      <c r="YC303" s="104"/>
      <c r="YD303" s="104"/>
      <c r="YE303" s="104"/>
      <c r="YF303" s="104"/>
      <c r="YG303" s="104"/>
      <c r="YH303" s="104"/>
      <c r="YI303" s="104"/>
      <c r="YJ303" s="104"/>
      <c r="YK303" s="104"/>
      <c r="YL303" s="104"/>
      <c r="YM303" s="104"/>
      <c r="YN303" s="104"/>
      <c r="YO303" s="104"/>
      <c r="YP303" s="104"/>
      <c r="YQ303" s="104"/>
      <c r="YR303" s="104"/>
      <c r="YS303" s="104"/>
      <c r="YT303" s="104"/>
      <c r="YU303" s="104"/>
      <c r="YV303" s="104"/>
      <c r="YW303" s="104"/>
      <c r="YX303" s="104"/>
      <c r="YY303" s="104"/>
      <c r="YZ303" s="104"/>
      <c r="ZA303" s="104"/>
      <c r="ZB303" s="104"/>
      <c r="ZC303" s="104"/>
      <c r="ZD303" s="104"/>
      <c r="ZE303" s="104"/>
      <c r="ZF303" s="104"/>
      <c r="ZG303" s="104"/>
      <c r="ZH303" s="104"/>
      <c r="ZI303" s="104"/>
      <c r="ZJ303" s="104"/>
      <c r="ZK303" s="104"/>
      <c r="ZL303" s="104"/>
      <c r="ZM303" s="104"/>
      <c r="ZN303" s="104"/>
      <c r="ZO303" s="104"/>
      <c r="ZP303" s="104"/>
      <c r="ZQ303" s="104"/>
      <c r="ZR303" s="104"/>
      <c r="ZS303" s="104"/>
      <c r="ZT303" s="104"/>
      <c r="ZU303" s="104"/>
      <c r="ZV303" s="104"/>
      <c r="ZW303" s="104"/>
      <c r="ZX303" s="104"/>
      <c r="ZY303" s="104"/>
      <c r="ZZ303" s="104"/>
      <c r="AAA303" s="104"/>
      <c r="AAB303" s="104"/>
      <c r="AAC303" s="104"/>
      <c r="AAD303" s="104"/>
      <c r="AAE303" s="104"/>
      <c r="AAF303" s="104"/>
      <c r="AAG303" s="104"/>
      <c r="AAH303" s="104"/>
      <c r="AAI303" s="104"/>
      <c r="AAJ303" s="104"/>
      <c r="AAK303" s="104"/>
      <c r="AAL303" s="104"/>
      <c r="AAM303" s="104"/>
      <c r="AAN303" s="104"/>
      <c r="AAO303" s="104"/>
      <c r="AAP303" s="104"/>
      <c r="AAQ303" s="104"/>
      <c r="AAR303" s="104"/>
      <c r="AAS303" s="104"/>
      <c r="AAT303" s="104"/>
      <c r="AAU303" s="104"/>
      <c r="AAV303" s="104"/>
      <c r="AAW303" s="104"/>
      <c r="AAX303" s="104"/>
      <c r="AAY303" s="104"/>
      <c r="AAZ303" s="104"/>
      <c r="ABA303" s="104"/>
      <c r="ABB303" s="104"/>
      <c r="ABC303" s="104"/>
      <c r="ABD303" s="104"/>
      <c r="ABE303" s="104"/>
      <c r="ABF303" s="104"/>
      <c r="ABG303" s="104"/>
      <c r="ABH303" s="104"/>
      <c r="ABI303" s="104"/>
      <c r="ABJ303" s="104"/>
      <c r="ABK303" s="104"/>
      <c r="ABL303" s="104"/>
      <c r="ABM303" s="104"/>
      <c r="ABN303" s="104"/>
      <c r="ABO303" s="104"/>
      <c r="ABP303" s="104"/>
      <c r="ABQ303" s="104"/>
      <c r="ABR303" s="104"/>
      <c r="ABS303" s="104"/>
    </row>
    <row r="304" spans="1:747" s="122" customFormat="1" ht="15" customHeight="1">
      <c r="A304" s="867">
        <v>113873955</v>
      </c>
      <c r="B304" s="523"/>
      <c r="C304" s="392"/>
      <c r="D304" s="260"/>
      <c r="E304" s="260" t="s">
        <v>465</v>
      </c>
      <c r="F304" s="222"/>
      <c r="G304" s="392" t="s">
        <v>386</v>
      </c>
      <c r="H304" s="222"/>
      <c r="I304" s="285">
        <f>ROUND(A304*'Linkin (2)'!$A$49,0)</f>
        <v>88068880</v>
      </c>
      <c r="J304" s="222"/>
      <c r="K304" s="263"/>
      <c r="L304" s="222"/>
      <c r="M304" s="263"/>
      <c r="N304" s="263"/>
      <c r="O304" s="263"/>
      <c r="P304" s="263"/>
      <c r="Q304" s="263"/>
      <c r="R304" s="263"/>
      <c r="S304" s="263">
        <f>+I304-U304</f>
        <v>87641896</v>
      </c>
      <c r="T304" s="263"/>
      <c r="U304" s="263">
        <f>ROUND(552094*'Linkin (2)'!A49,0)</f>
        <v>426984</v>
      </c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F304" s="263"/>
      <c r="AG304" s="263"/>
      <c r="AH304" s="222"/>
      <c r="AI304" s="157">
        <f t="shared" si="199"/>
        <v>0</v>
      </c>
      <c r="AJ304" s="222"/>
      <c r="AK304" s="222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  <c r="IP304" s="104"/>
      <c r="IQ304" s="104"/>
      <c r="IR304" s="104"/>
      <c r="IS304" s="104"/>
      <c r="IT304" s="104"/>
      <c r="IU304" s="104"/>
      <c r="IV304" s="104"/>
      <c r="IW304" s="104"/>
      <c r="IX304" s="104"/>
      <c r="IY304" s="104"/>
      <c r="IZ304" s="104"/>
      <c r="JA304" s="104"/>
      <c r="JB304" s="104"/>
      <c r="JC304" s="104"/>
      <c r="JD304" s="104"/>
      <c r="JE304" s="104"/>
      <c r="JF304" s="104"/>
      <c r="JG304" s="104"/>
      <c r="JH304" s="104"/>
      <c r="JI304" s="104"/>
      <c r="JJ304" s="104"/>
      <c r="JK304" s="104"/>
      <c r="JL304" s="104"/>
      <c r="JM304" s="104"/>
      <c r="JN304" s="104"/>
      <c r="JO304" s="104"/>
      <c r="JP304" s="104"/>
      <c r="JQ304" s="104"/>
      <c r="JR304" s="104"/>
      <c r="JS304" s="104"/>
      <c r="JT304" s="104"/>
      <c r="JU304" s="104"/>
      <c r="JV304" s="104"/>
      <c r="JW304" s="104"/>
      <c r="JX304" s="104"/>
      <c r="JY304" s="104"/>
      <c r="JZ304" s="104"/>
      <c r="KA304" s="104"/>
      <c r="KB304" s="104"/>
      <c r="KC304" s="104"/>
      <c r="KD304" s="104"/>
      <c r="KE304" s="104"/>
      <c r="KF304" s="104"/>
      <c r="KG304" s="104"/>
      <c r="KH304" s="104"/>
      <c r="KI304" s="104"/>
      <c r="KJ304" s="104"/>
      <c r="KK304" s="104"/>
      <c r="KL304" s="104"/>
      <c r="KM304" s="104"/>
      <c r="KN304" s="104"/>
      <c r="KO304" s="104"/>
      <c r="KP304" s="104"/>
      <c r="KQ304" s="104"/>
      <c r="KR304" s="104"/>
      <c r="KS304" s="104"/>
      <c r="KT304" s="104"/>
      <c r="KU304" s="104"/>
      <c r="KV304" s="104"/>
      <c r="KW304" s="104"/>
      <c r="KX304" s="104"/>
      <c r="KY304" s="104"/>
      <c r="KZ304" s="104"/>
      <c r="LA304" s="104"/>
      <c r="LB304" s="104"/>
      <c r="LC304" s="104"/>
      <c r="LD304" s="104"/>
      <c r="LE304" s="104"/>
      <c r="LF304" s="104"/>
      <c r="LG304" s="104"/>
      <c r="LH304" s="104"/>
      <c r="LI304" s="104"/>
      <c r="LJ304" s="104"/>
      <c r="LK304" s="104"/>
      <c r="LL304" s="104"/>
      <c r="LM304" s="104"/>
      <c r="LN304" s="104"/>
      <c r="LO304" s="104"/>
      <c r="LP304" s="104"/>
      <c r="LQ304" s="104"/>
      <c r="LR304" s="104"/>
      <c r="LS304" s="104"/>
      <c r="LT304" s="104"/>
      <c r="LU304" s="104"/>
      <c r="LV304" s="104"/>
      <c r="LW304" s="104"/>
      <c r="LX304" s="104"/>
      <c r="LY304" s="104"/>
      <c r="LZ304" s="104"/>
      <c r="MA304" s="104"/>
      <c r="MB304" s="104"/>
      <c r="MC304" s="104"/>
      <c r="MD304" s="104"/>
      <c r="ME304" s="104"/>
      <c r="MF304" s="104"/>
      <c r="MG304" s="104"/>
      <c r="MH304" s="104"/>
      <c r="MI304" s="104"/>
      <c r="MJ304" s="104"/>
      <c r="MK304" s="104"/>
      <c r="ML304" s="104"/>
      <c r="MM304" s="104"/>
      <c r="MN304" s="104"/>
      <c r="MO304" s="104"/>
      <c r="MP304" s="104"/>
      <c r="MQ304" s="104"/>
      <c r="MR304" s="104"/>
      <c r="MS304" s="104"/>
      <c r="MT304" s="104"/>
      <c r="MU304" s="104"/>
      <c r="MV304" s="104"/>
      <c r="MW304" s="104"/>
      <c r="MX304" s="104"/>
      <c r="MY304" s="104"/>
      <c r="MZ304" s="104"/>
      <c r="NA304" s="104"/>
      <c r="NB304" s="104"/>
      <c r="NC304" s="104"/>
      <c r="ND304" s="104"/>
      <c r="NE304" s="104"/>
      <c r="NF304" s="104"/>
      <c r="NG304" s="104"/>
      <c r="NH304" s="104"/>
      <c r="NI304" s="104"/>
      <c r="NJ304" s="104"/>
      <c r="NK304" s="104"/>
      <c r="NL304" s="104"/>
      <c r="NM304" s="104"/>
      <c r="NN304" s="104"/>
      <c r="NO304" s="104"/>
      <c r="NP304" s="104"/>
      <c r="NQ304" s="104"/>
      <c r="NR304" s="104"/>
      <c r="NS304" s="104"/>
      <c r="NT304" s="104"/>
      <c r="NU304" s="104"/>
      <c r="NV304" s="104"/>
      <c r="NW304" s="104"/>
      <c r="NX304" s="104"/>
      <c r="NY304" s="104"/>
      <c r="NZ304" s="104"/>
      <c r="OA304" s="104"/>
      <c r="OB304" s="104"/>
      <c r="OC304" s="104"/>
      <c r="OD304" s="104"/>
      <c r="OE304" s="104"/>
      <c r="OF304" s="104"/>
      <c r="OG304" s="104"/>
      <c r="OH304" s="104"/>
      <c r="OI304" s="104"/>
      <c r="OJ304" s="104"/>
      <c r="OK304" s="104"/>
      <c r="OL304" s="104"/>
      <c r="OM304" s="104"/>
      <c r="ON304" s="104"/>
      <c r="OO304" s="104"/>
      <c r="OP304" s="104"/>
      <c r="OQ304" s="104"/>
      <c r="OR304" s="104"/>
      <c r="OS304" s="104"/>
      <c r="OT304" s="104"/>
      <c r="OU304" s="104"/>
      <c r="OV304" s="104"/>
      <c r="OW304" s="104"/>
      <c r="OX304" s="104"/>
      <c r="OY304" s="104"/>
      <c r="OZ304" s="104"/>
      <c r="PA304" s="104"/>
      <c r="PB304" s="104"/>
      <c r="PC304" s="104"/>
      <c r="PD304" s="104"/>
      <c r="PE304" s="104"/>
      <c r="PF304" s="104"/>
      <c r="PG304" s="104"/>
      <c r="PH304" s="104"/>
      <c r="PI304" s="104"/>
      <c r="PJ304" s="104"/>
      <c r="PK304" s="104"/>
      <c r="PL304" s="104"/>
      <c r="PM304" s="104"/>
      <c r="PN304" s="104"/>
      <c r="PO304" s="104"/>
      <c r="PP304" s="104"/>
      <c r="PQ304" s="104"/>
      <c r="PR304" s="104"/>
      <c r="PS304" s="104"/>
      <c r="PT304" s="104"/>
      <c r="PU304" s="104"/>
      <c r="PV304" s="104"/>
      <c r="PW304" s="104"/>
      <c r="PX304" s="104"/>
      <c r="PY304" s="104"/>
      <c r="PZ304" s="104"/>
      <c r="QA304" s="104"/>
      <c r="QB304" s="104"/>
      <c r="QC304" s="104"/>
      <c r="QD304" s="104"/>
      <c r="QE304" s="104"/>
      <c r="QF304" s="104"/>
      <c r="QG304" s="104"/>
      <c r="QH304" s="104"/>
      <c r="QI304" s="104"/>
      <c r="QJ304" s="104"/>
      <c r="QK304" s="104"/>
      <c r="QL304" s="104"/>
      <c r="QM304" s="104"/>
      <c r="QN304" s="104"/>
      <c r="QO304" s="104"/>
      <c r="QP304" s="104"/>
      <c r="QQ304" s="104"/>
      <c r="QR304" s="104"/>
      <c r="QS304" s="104"/>
      <c r="QT304" s="104"/>
      <c r="QU304" s="104"/>
      <c r="QV304" s="104"/>
      <c r="QW304" s="104"/>
      <c r="QX304" s="104"/>
      <c r="QY304" s="104"/>
      <c r="QZ304" s="104"/>
      <c r="RA304" s="104"/>
      <c r="RB304" s="104"/>
      <c r="RC304" s="104"/>
      <c r="RD304" s="104"/>
      <c r="RE304" s="104"/>
      <c r="RF304" s="104"/>
      <c r="RG304" s="104"/>
      <c r="RH304" s="104"/>
      <c r="RI304" s="104"/>
      <c r="RJ304" s="104"/>
      <c r="RK304" s="104"/>
      <c r="RL304" s="104"/>
      <c r="RM304" s="104"/>
      <c r="RN304" s="104"/>
      <c r="RO304" s="104"/>
      <c r="RP304" s="104"/>
      <c r="RQ304" s="104"/>
      <c r="RR304" s="104"/>
      <c r="RS304" s="104"/>
      <c r="RT304" s="104"/>
      <c r="RU304" s="104"/>
      <c r="RV304" s="104"/>
      <c r="RW304" s="104"/>
      <c r="RX304" s="104"/>
      <c r="RY304" s="104"/>
      <c r="RZ304" s="104"/>
      <c r="SA304" s="104"/>
      <c r="SB304" s="104"/>
      <c r="SC304" s="104"/>
      <c r="SD304" s="104"/>
      <c r="SE304" s="104"/>
      <c r="SF304" s="104"/>
      <c r="SG304" s="104"/>
      <c r="SH304" s="104"/>
      <c r="SI304" s="104"/>
      <c r="SJ304" s="104"/>
      <c r="SK304" s="104"/>
      <c r="SL304" s="104"/>
      <c r="SM304" s="104"/>
      <c r="SN304" s="104"/>
      <c r="SO304" s="104"/>
      <c r="SP304" s="104"/>
      <c r="SQ304" s="104"/>
      <c r="SR304" s="104"/>
      <c r="SS304" s="104"/>
      <c r="ST304" s="104"/>
      <c r="SU304" s="104"/>
      <c r="SV304" s="104"/>
      <c r="SW304" s="104"/>
      <c r="SX304" s="104"/>
      <c r="SY304" s="104"/>
      <c r="SZ304" s="104"/>
      <c r="TA304" s="104"/>
      <c r="TB304" s="104"/>
      <c r="TC304" s="104"/>
      <c r="TD304" s="104"/>
      <c r="TE304" s="104"/>
      <c r="TF304" s="104"/>
      <c r="TG304" s="104"/>
      <c r="TH304" s="104"/>
      <c r="TI304" s="104"/>
      <c r="TJ304" s="104"/>
      <c r="TK304" s="104"/>
      <c r="TL304" s="104"/>
      <c r="TM304" s="104"/>
      <c r="TN304" s="104"/>
      <c r="TO304" s="104"/>
      <c r="TP304" s="104"/>
      <c r="TQ304" s="104"/>
      <c r="TR304" s="104"/>
      <c r="TS304" s="104"/>
      <c r="TT304" s="104"/>
      <c r="TU304" s="104"/>
      <c r="TV304" s="104"/>
      <c r="TW304" s="104"/>
      <c r="TX304" s="104"/>
      <c r="TY304" s="104"/>
      <c r="TZ304" s="104"/>
      <c r="UA304" s="104"/>
      <c r="UB304" s="104"/>
      <c r="UC304" s="104"/>
      <c r="UD304" s="104"/>
      <c r="UE304" s="104"/>
      <c r="UF304" s="104"/>
      <c r="UG304" s="104"/>
      <c r="UH304" s="104"/>
      <c r="UI304" s="104"/>
      <c r="UJ304" s="104"/>
      <c r="UK304" s="104"/>
      <c r="UL304" s="104"/>
      <c r="UM304" s="104"/>
      <c r="UN304" s="104"/>
      <c r="UO304" s="104"/>
      <c r="UP304" s="104"/>
      <c r="UQ304" s="104"/>
      <c r="UR304" s="104"/>
      <c r="US304" s="104"/>
      <c r="UT304" s="104"/>
      <c r="UU304" s="104"/>
      <c r="UV304" s="104"/>
      <c r="UW304" s="104"/>
      <c r="UX304" s="104"/>
      <c r="UY304" s="104"/>
      <c r="UZ304" s="104"/>
      <c r="VA304" s="104"/>
      <c r="VB304" s="104"/>
      <c r="VC304" s="104"/>
      <c r="VD304" s="104"/>
      <c r="VE304" s="104"/>
      <c r="VF304" s="104"/>
      <c r="VG304" s="104"/>
      <c r="VH304" s="104"/>
      <c r="VI304" s="104"/>
      <c r="VJ304" s="104"/>
      <c r="VK304" s="104"/>
      <c r="VL304" s="104"/>
      <c r="VM304" s="104"/>
      <c r="VN304" s="104"/>
      <c r="VO304" s="104"/>
      <c r="VP304" s="104"/>
      <c r="VQ304" s="104"/>
      <c r="VR304" s="104"/>
      <c r="VS304" s="104"/>
      <c r="VT304" s="104"/>
      <c r="VU304" s="104"/>
      <c r="VV304" s="104"/>
      <c r="VW304" s="104"/>
      <c r="VX304" s="104"/>
      <c r="VY304" s="104"/>
      <c r="VZ304" s="104"/>
      <c r="WA304" s="104"/>
      <c r="WB304" s="104"/>
      <c r="WC304" s="104"/>
      <c r="WD304" s="104"/>
      <c r="WE304" s="104"/>
      <c r="WF304" s="104"/>
      <c r="WG304" s="104"/>
      <c r="WH304" s="104"/>
      <c r="WI304" s="104"/>
      <c r="WJ304" s="104"/>
      <c r="WK304" s="104"/>
      <c r="WL304" s="104"/>
      <c r="WM304" s="104"/>
      <c r="WN304" s="104"/>
      <c r="WO304" s="104"/>
      <c r="WP304" s="104"/>
      <c r="WQ304" s="104"/>
      <c r="WR304" s="104"/>
      <c r="WS304" s="104"/>
      <c r="WT304" s="104"/>
      <c r="WU304" s="104"/>
      <c r="WV304" s="104"/>
      <c r="WW304" s="104"/>
      <c r="WX304" s="104"/>
      <c r="WY304" s="104"/>
      <c r="WZ304" s="104"/>
      <c r="XA304" s="104"/>
      <c r="XB304" s="104"/>
      <c r="XC304" s="104"/>
      <c r="XD304" s="104"/>
      <c r="XE304" s="104"/>
      <c r="XF304" s="104"/>
      <c r="XG304" s="104"/>
      <c r="XH304" s="104"/>
      <c r="XI304" s="104"/>
      <c r="XJ304" s="104"/>
      <c r="XK304" s="104"/>
      <c r="XL304" s="104"/>
      <c r="XM304" s="104"/>
      <c r="XN304" s="104"/>
      <c r="XO304" s="104"/>
      <c r="XP304" s="104"/>
      <c r="XQ304" s="104"/>
      <c r="XR304" s="104"/>
      <c r="XS304" s="104"/>
      <c r="XT304" s="104"/>
      <c r="XU304" s="104"/>
      <c r="XV304" s="104"/>
      <c r="XW304" s="104"/>
      <c r="XX304" s="104"/>
      <c r="XY304" s="104"/>
      <c r="XZ304" s="104"/>
      <c r="YA304" s="104"/>
      <c r="YB304" s="104"/>
      <c r="YC304" s="104"/>
      <c r="YD304" s="104"/>
      <c r="YE304" s="104"/>
      <c r="YF304" s="104"/>
      <c r="YG304" s="104"/>
      <c r="YH304" s="104"/>
      <c r="YI304" s="104"/>
      <c r="YJ304" s="104"/>
      <c r="YK304" s="104"/>
      <c r="YL304" s="104"/>
      <c r="YM304" s="104"/>
      <c r="YN304" s="104"/>
      <c r="YO304" s="104"/>
      <c r="YP304" s="104"/>
      <c r="YQ304" s="104"/>
      <c r="YR304" s="104"/>
      <c r="YS304" s="104"/>
      <c r="YT304" s="104"/>
      <c r="YU304" s="104"/>
      <c r="YV304" s="104"/>
      <c r="YW304" s="104"/>
      <c r="YX304" s="104"/>
      <c r="YY304" s="104"/>
      <c r="YZ304" s="104"/>
      <c r="ZA304" s="104"/>
      <c r="ZB304" s="104"/>
      <c r="ZC304" s="104"/>
      <c r="ZD304" s="104"/>
      <c r="ZE304" s="104"/>
      <c r="ZF304" s="104"/>
      <c r="ZG304" s="104"/>
      <c r="ZH304" s="104"/>
      <c r="ZI304" s="104"/>
      <c r="ZJ304" s="104"/>
      <c r="ZK304" s="104"/>
      <c r="ZL304" s="104"/>
      <c r="ZM304" s="104"/>
      <c r="ZN304" s="104"/>
      <c r="ZO304" s="104"/>
      <c r="ZP304" s="104"/>
      <c r="ZQ304" s="104"/>
      <c r="ZR304" s="104"/>
      <c r="ZS304" s="104"/>
      <c r="ZT304" s="104"/>
      <c r="ZU304" s="104"/>
      <c r="ZV304" s="104"/>
      <c r="ZW304" s="104"/>
      <c r="ZX304" s="104"/>
      <c r="ZY304" s="104"/>
      <c r="ZZ304" s="104"/>
      <c r="AAA304" s="104"/>
      <c r="AAB304" s="104"/>
      <c r="AAC304" s="104"/>
      <c r="AAD304" s="104"/>
      <c r="AAE304" s="104"/>
      <c r="AAF304" s="104"/>
      <c r="AAG304" s="104"/>
      <c r="AAH304" s="104"/>
      <c r="AAI304" s="104"/>
      <c r="AAJ304" s="104"/>
      <c r="AAK304" s="104"/>
      <c r="AAL304" s="104"/>
      <c r="AAM304" s="104"/>
      <c r="AAN304" s="104"/>
      <c r="AAO304" s="104"/>
      <c r="AAP304" s="104"/>
      <c r="AAQ304" s="104"/>
      <c r="AAR304" s="104"/>
      <c r="AAS304" s="104"/>
      <c r="AAT304" s="104"/>
      <c r="AAU304" s="104"/>
      <c r="AAV304" s="104"/>
      <c r="AAW304" s="104"/>
      <c r="AAX304" s="104"/>
      <c r="AAY304" s="104"/>
      <c r="AAZ304" s="104"/>
      <c r="ABA304" s="104"/>
      <c r="ABB304" s="104"/>
      <c r="ABC304" s="104"/>
      <c r="ABD304" s="104"/>
      <c r="ABE304" s="104"/>
      <c r="ABF304" s="104"/>
      <c r="ABG304" s="104"/>
      <c r="ABH304" s="104"/>
      <c r="ABI304" s="104"/>
      <c r="ABJ304" s="104"/>
      <c r="ABK304" s="104"/>
      <c r="ABL304" s="104"/>
      <c r="ABM304" s="104"/>
      <c r="ABN304" s="104"/>
      <c r="ABO304" s="104"/>
      <c r="ABP304" s="104"/>
      <c r="ABQ304" s="104"/>
      <c r="ABR304" s="104"/>
      <c r="ABS304" s="104"/>
    </row>
    <row r="305" spans="1:37" ht="15" customHeight="1">
      <c r="A305" s="285">
        <f>SUM(A302:A304)</f>
        <v>1891487948</v>
      </c>
      <c r="B305" s="941">
        <f>SUM(I302:I304)</f>
        <v>1462856230</v>
      </c>
      <c r="C305" s="159">
        <v>378</v>
      </c>
      <c r="E305" s="222" t="s">
        <v>159</v>
      </c>
      <c r="F305" s="222"/>
      <c r="G305" s="392">
        <v>18</v>
      </c>
      <c r="H305" s="222"/>
      <c r="I305" s="262">
        <f>+'Linkin (2)'!O48</f>
        <v>109292996</v>
      </c>
      <c r="K305" s="156">
        <f t="shared" ref="K305:K316" si="254">ROUND(VLOOKUP($G305,factors,+K$376)*$I305,0)</f>
        <v>53794013</v>
      </c>
      <c r="M305" s="156">
        <f t="shared" ref="M305:M316" si="255">ROUND(VLOOKUP($G305,factors,+M$376)*$I305,0)</f>
        <v>29673048</v>
      </c>
      <c r="N305" s="156"/>
      <c r="O305" s="156">
        <f t="shared" ref="O305:O316" si="256">ROUND(VLOOKUP($G305,factors,+O$376)*$I305,0)</f>
        <v>8043965</v>
      </c>
      <c r="P305" s="156"/>
      <c r="Q305" s="156">
        <f t="shared" ref="Q305:Q316" si="257">ROUND(VLOOKUP($G305,factors,+Q$376)*$I305,0)</f>
        <v>7912813</v>
      </c>
      <c r="R305" s="156"/>
      <c r="S305" s="156">
        <f t="shared" ref="S305:S316" si="258">ROUND(VLOOKUP($G305,factors,+S$376)*$I305,0)</f>
        <v>6546650</v>
      </c>
      <c r="T305" s="156"/>
      <c r="U305" s="165">
        <f t="shared" ref="U305:U316" si="259">ROUND(VLOOKUP($G305,factors,+U$376)*$I305,0)</f>
        <v>3322507</v>
      </c>
      <c r="V305" s="156"/>
      <c r="W305" s="156">
        <f t="shared" ref="W305:W316" si="260">ROUND(VLOOKUP($G305,factors,+W$376)*$I305,0)</f>
        <v>0</v>
      </c>
      <c r="X305" s="156"/>
      <c r="Y305" s="156">
        <f t="shared" ref="Y305:Y316" si="261">ROUND(VLOOKUP($G305,factors,+Y$376)*$I305,0)</f>
        <v>0</v>
      </c>
      <c r="Z305" s="156"/>
      <c r="AA305" s="156">
        <f t="shared" ref="AA305:AA316" si="262">ROUND(VLOOKUP($G305,factors,+AA$376)*$I305,0)</f>
        <v>0</v>
      </c>
      <c r="AB305" s="156"/>
      <c r="AC305" s="156">
        <f t="shared" ref="AC305:AC316" si="263">ROUND(VLOOKUP($G305,factors,+AC$376)*$I305,0)</f>
        <v>0</v>
      </c>
      <c r="AD305" s="156"/>
      <c r="AE305" s="156">
        <f t="shared" ref="AE305:AE316" si="264">ROUND(VLOOKUP($G305,factors,+AE$376)*$I305,0)</f>
        <v>0</v>
      </c>
      <c r="AF305" s="156"/>
      <c r="AG305" s="156">
        <f t="shared" ref="AG305:AG316" si="265">ROUND(VLOOKUP($G305,factors,+AG$376)*$I305,0)</f>
        <v>0</v>
      </c>
      <c r="AH305" s="222"/>
      <c r="AI305" s="157">
        <f t="shared" si="199"/>
        <v>0</v>
      </c>
    </row>
    <row r="306" spans="1:37" ht="15" customHeight="1">
      <c r="A306" s="263"/>
      <c r="B306" s="263">
        <f>+'Linkin (2)'!A47</f>
        <v>1462856230</v>
      </c>
      <c r="C306" s="159">
        <v>379</v>
      </c>
      <c r="E306" s="222" t="s">
        <v>423</v>
      </c>
      <c r="F306" s="222"/>
      <c r="G306" s="392">
        <v>18</v>
      </c>
      <c r="H306" s="222"/>
      <c r="I306" s="262"/>
      <c r="K306" s="156">
        <f t="shared" si="254"/>
        <v>0</v>
      </c>
      <c r="M306" s="156">
        <f t="shared" si="255"/>
        <v>0</v>
      </c>
      <c r="N306" s="156"/>
      <c r="O306" s="156">
        <f t="shared" si="256"/>
        <v>0</v>
      </c>
      <c r="P306" s="156"/>
      <c r="Q306" s="156">
        <f t="shared" si="257"/>
        <v>0</v>
      </c>
      <c r="R306" s="156"/>
      <c r="S306" s="156">
        <f t="shared" si="258"/>
        <v>0</v>
      </c>
      <c r="T306" s="156"/>
      <c r="U306" s="165">
        <f t="shared" si="259"/>
        <v>0</v>
      </c>
      <c r="V306" s="156"/>
      <c r="W306" s="156">
        <f t="shared" si="260"/>
        <v>0</v>
      </c>
      <c r="X306" s="156"/>
      <c r="Y306" s="156">
        <f t="shared" si="261"/>
        <v>0</v>
      </c>
      <c r="Z306" s="156"/>
      <c r="AA306" s="156">
        <f t="shared" si="262"/>
        <v>0</v>
      </c>
      <c r="AB306" s="156"/>
      <c r="AC306" s="156">
        <f t="shared" si="263"/>
        <v>0</v>
      </c>
      <c r="AD306" s="156"/>
      <c r="AE306" s="156">
        <f t="shared" si="264"/>
        <v>0</v>
      </c>
      <c r="AF306" s="156"/>
      <c r="AG306" s="156">
        <f t="shared" si="265"/>
        <v>0</v>
      </c>
      <c r="AI306" s="157">
        <f t="shared" si="199"/>
        <v>0</v>
      </c>
    </row>
    <row r="307" spans="1:37" ht="15" customHeight="1">
      <c r="A307" s="264"/>
      <c r="B307" s="222"/>
      <c r="C307" s="159">
        <v>379</v>
      </c>
      <c r="E307" s="222" t="s">
        <v>160</v>
      </c>
      <c r="F307" s="222"/>
      <c r="G307" s="392">
        <v>18</v>
      </c>
      <c r="H307" s="222"/>
      <c r="I307" s="262">
        <f>+'Linkin (2)'!O49</f>
        <v>13060700</v>
      </c>
      <c r="K307" s="156">
        <f t="shared" si="254"/>
        <v>6428477</v>
      </c>
      <c r="M307" s="156">
        <f t="shared" si="255"/>
        <v>3545980</v>
      </c>
      <c r="N307" s="156"/>
      <c r="O307" s="156">
        <f t="shared" si="256"/>
        <v>961268</v>
      </c>
      <c r="P307" s="156"/>
      <c r="Q307" s="156">
        <f t="shared" si="257"/>
        <v>945595</v>
      </c>
      <c r="R307" s="156"/>
      <c r="S307" s="156">
        <f t="shared" si="258"/>
        <v>782336</v>
      </c>
      <c r="T307" s="156"/>
      <c r="U307" s="165">
        <f t="shared" si="259"/>
        <v>397045</v>
      </c>
      <c r="V307" s="156"/>
      <c r="W307" s="156">
        <f t="shared" si="260"/>
        <v>0</v>
      </c>
      <c r="X307" s="156"/>
      <c r="Y307" s="156">
        <f t="shared" si="261"/>
        <v>0</v>
      </c>
      <c r="Z307" s="156"/>
      <c r="AA307" s="156">
        <f t="shared" si="262"/>
        <v>0</v>
      </c>
      <c r="AB307" s="156"/>
      <c r="AC307" s="156">
        <f t="shared" si="263"/>
        <v>0</v>
      </c>
      <c r="AD307" s="156"/>
      <c r="AE307" s="156">
        <f t="shared" si="264"/>
        <v>0</v>
      </c>
      <c r="AF307" s="156"/>
      <c r="AG307" s="156">
        <f t="shared" si="265"/>
        <v>0</v>
      </c>
      <c r="AI307" s="157">
        <f t="shared" si="199"/>
        <v>1</v>
      </c>
    </row>
    <row r="308" spans="1:37" ht="15" customHeight="1">
      <c r="A308" s="222"/>
      <c r="B308" s="222"/>
      <c r="C308" s="159">
        <v>380</v>
      </c>
      <c r="E308" s="260" t="s">
        <v>290</v>
      </c>
      <c r="F308" s="222"/>
      <c r="G308" s="261" t="s">
        <v>398</v>
      </c>
      <c r="H308" s="222"/>
      <c r="I308" s="262">
        <f>+'Linkin (2)'!O50</f>
        <v>759978931</v>
      </c>
      <c r="K308" s="156">
        <f t="shared" si="254"/>
        <v>0</v>
      </c>
      <c r="M308" s="156">
        <f t="shared" si="255"/>
        <v>0</v>
      </c>
      <c r="N308" s="156"/>
      <c r="O308" s="156">
        <f t="shared" si="256"/>
        <v>0</v>
      </c>
      <c r="P308" s="156"/>
      <c r="Q308" s="156">
        <f t="shared" si="257"/>
        <v>0</v>
      </c>
      <c r="R308" s="156"/>
      <c r="S308" s="156">
        <f t="shared" si="258"/>
        <v>0</v>
      </c>
      <c r="T308" s="156"/>
      <c r="U308" s="165">
        <f t="shared" si="259"/>
        <v>0</v>
      </c>
      <c r="V308" s="156"/>
      <c r="W308" s="156">
        <f t="shared" si="260"/>
        <v>662397636</v>
      </c>
      <c r="X308" s="156"/>
      <c r="Y308" s="156">
        <f t="shared" si="261"/>
        <v>88461548</v>
      </c>
      <c r="Z308" s="156"/>
      <c r="AA308" s="156">
        <f t="shared" si="262"/>
        <v>3723897</v>
      </c>
      <c r="AB308" s="156"/>
      <c r="AC308" s="156">
        <f t="shared" si="263"/>
        <v>3951890</v>
      </c>
      <c r="AD308" s="156"/>
      <c r="AE308" s="156">
        <f t="shared" si="264"/>
        <v>303992</v>
      </c>
      <c r="AF308" s="156"/>
      <c r="AG308" s="156">
        <f t="shared" si="265"/>
        <v>1139968</v>
      </c>
      <c r="AI308" s="157">
        <f t="shared" si="199"/>
        <v>0</v>
      </c>
    </row>
    <row r="309" spans="1:37" ht="15" customHeight="1">
      <c r="A309" s="222"/>
      <c r="B309" s="222"/>
      <c r="C309" s="159">
        <v>381</v>
      </c>
      <c r="E309" s="260" t="s">
        <v>291</v>
      </c>
      <c r="F309" s="222"/>
      <c r="G309" s="261">
        <v>6</v>
      </c>
      <c r="H309" s="222"/>
      <c r="I309" s="262">
        <f>+'Linkin (2)'!O51+'Linkin (2)'!O52</f>
        <v>80023419</v>
      </c>
      <c r="K309" s="156">
        <f t="shared" si="254"/>
        <v>0</v>
      </c>
      <c r="M309" s="156">
        <f t="shared" si="255"/>
        <v>0</v>
      </c>
      <c r="N309" s="156"/>
      <c r="O309" s="156">
        <f t="shared" si="256"/>
        <v>0</v>
      </c>
      <c r="P309" s="156"/>
      <c r="Q309" s="156">
        <f t="shared" si="257"/>
        <v>0</v>
      </c>
      <c r="R309" s="156"/>
      <c r="S309" s="156">
        <f t="shared" si="258"/>
        <v>0</v>
      </c>
      <c r="T309" s="156"/>
      <c r="U309" s="165">
        <f t="shared" si="259"/>
        <v>0</v>
      </c>
      <c r="V309" s="156"/>
      <c r="W309" s="156">
        <f t="shared" si="260"/>
        <v>35090269</v>
      </c>
      <c r="X309" s="156"/>
      <c r="Y309" s="156">
        <f t="shared" si="261"/>
        <v>33721869</v>
      </c>
      <c r="Z309" s="156"/>
      <c r="AA309" s="156">
        <f t="shared" si="262"/>
        <v>5297550</v>
      </c>
      <c r="AB309" s="156"/>
      <c r="AC309" s="156">
        <f t="shared" si="263"/>
        <v>3240948</v>
      </c>
      <c r="AD309" s="156"/>
      <c r="AE309" s="156">
        <f t="shared" si="264"/>
        <v>672197</v>
      </c>
      <c r="AF309" s="156"/>
      <c r="AG309" s="156">
        <f t="shared" si="265"/>
        <v>2000585</v>
      </c>
      <c r="AI309" s="157">
        <f t="shared" si="199"/>
        <v>-1</v>
      </c>
    </row>
    <row r="310" spans="1:37" ht="15" customHeight="1">
      <c r="A310" s="222"/>
      <c r="B310" s="222"/>
      <c r="C310" s="159">
        <v>382</v>
      </c>
      <c r="E310" s="260" t="s">
        <v>292</v>
      </c>
      <c r="F310" s="222"/>
      <c r="G310" s="261">
        <v>6</v>
      </c>
      <c r="H310" s="222"/>
      <c r="I310" s="262">
        <f>+'Linkin (2)'!O53</f>
        <v>59289481</v>
      </c>
      <c r="K310" s="156">
        <f t="shared" si="254"/>
        <v>0</v>
      </c>
      <c r="M310" s="156">
        <f t="shared" si="255"/>
        <v>0</v>
      </c>
      <c r="N310" s="156"/>
      <c r="O310" s="156">
        <f t="shared" si="256"/>
        <v>0</v>
      </c>
      <c r="P310" s="156"/>
      <c r="Q310" s="156">
        <f t="shared" si="257"/>
        <v>0</v>
      </c>
      <c r="R310" s="156"/>
      <c r="S310" s="156">
        <f t="shared" si="258"/>
        <v>0</v>
      </c>
      <c r="T310" s="156"/>
      <c r="U310" s="165">
        <f t="shared" si="259"/>
        <v>0</v>
      </c>
      <c r="V310" s="156"/>
      <c r="W310" s="156">
        <f t="shared" si="260"/>
        <v>25998437</v>
      </c>
      <c r="X310" s="156"/>
      <c r="Y310" s="156">
        <f t="shared" si="261"/>
        <v>24984587</v>
      </c>
      <c r="Z310" s="156"/>
      <c r="AA310" s="156">
        <f t="shared" si="262"/>
        <v>3924964</v>
      </c>
      <c r="AB310" s="156"/>
      <c r="AC310" s="156">
        <f t="shared" si="263"/>
        <v>2401224</v>
      </c>
      <c r="AD310" s="156"/>
      <c r="AE310" s="156">
        <f t="shared" si="264"/>
        <v>498032</v>
      </c>
      <c r="AF310" s="156"/>
      <c r="AG310" s="156">
        <f t="shared" si="265"/>
        <v>1482237</v>
      </c>
      <c r="AI310" s="157">
        <f t="shared" si="199"/>
        <v>0</v>
      </c>
    </row>
    <row r="311" spans="1:37" ht="15" customHeight="1">
      <c r="A311" s="222"/>
      <c r="B311" s="222"/>
      <c r="C311" s="159">
        <v>383</v>
      </c>
      <c r="E311" s="222" t="s">
        <v>162</v>
      </c>
      <c r="F311" s="222"/>
      <c r="G311" s="392" t="s">
        <v>302</v>
      </c>
      <c r="H311" s="222"/>
      <c r="I311" s="262">
        <f>+'Linkin (2)'!O54</f>
        <v>8861138</v>
      </c>
      <c r="K311" s="156">
        <f t="shared" si="254"/>
        <v>0</v>
      </c>
      <c r="M311" s="156">
        <f t="shared" si="255"/>
        <v>0</v>
      </c>
      <c r="N311" s="156"/>
      <c r="O311" s="156">
        <f t="shared" si="256"/>
        <v>0</v>
      </c>
      <c r="P311" s="156"/>
      <c r="Q311" s="156">
        <f t="shared" si="257"/>
        <v>0</v>
      </c>
      <c r="R311" s="156"/>
      <c r="S311" s="156">
        <f t="shared" si="258"/>
        <v>0</v>
      </c>
      <c r="T311" s="156"/>
      <c r="U311" s="165">
        <f t="shared" si="259"/>
        <v>0</v>
      </c>
      <c r="V311" s="156"/>
      <c r="W311" s="156">
        <f t="shared" si="260"/>
        <v>7818182</v>
      </c>
      <c r="X311" s="156"/>
      <c r="Y311" s="156">
        <f t="shared" si="261"/>
        <v>1042956</v>
      </c>
      <c r="Z311" s="156"/>
      <c r="AA311" s="156">
        <f t="shared" si="262"/>
        <v>0</v>
      </c>
      <c r="AB311" s="156"/>
      <c r="AC311" s="156">
        <f t="shared" si="263"/>
        <v>0</v>
      </c>
      <c r="AD311" s="156"/>
      <c r="AE311" s="156">
        <f t="shared" si="264"/>
        <v>0</v>
      </c>
      <c r="AF311" s="156"/>
      <c r="AG311" s="156">
        <f t="shared" si="265"/>
        <v>0</v>
      </c>
      <c r="AI311" s="157">
        <f t="shared" si="199"/>
        <v>0</v>
      </c>
    </row>
    <row r="312" spans="1:37" s="47" customFormat="1" ht="15" customHeight="1">
      <c r="A312" s="285"/>
      <c r="B312" s="222"/>
      <c r="C312" s="159">
        <v>384</v>
      </c>
      <c r="D312" s="149"/>
      <c r="E312" s="222" t="s">
        <v>163</v>
      </c>
      <c r="F312" s="222"/>
      <c r="G312" s="392" t="s">
        <v>302</v>
      </c>
      <c r="H312" s="222"/>
      <c r="I312" s="262">
        <f>+'Linkin (2)'!O55</f>
        <v>9277681</v>
      </c>
      <c r="J312" s="149"/>
      <c r="K312" s="156">
        <f t="shared" si="254"/>
        <v>0</v>
      </c>
      <c r="L312" s="149"/>
      <c r="M312" s="156">
        <f t="shared" si="255"/>
        <v>0</v>
      </c>
      <c r="N312" s="156"/>
      <c r="O312" s="156">
        <f t="shared" si="256"/>
        <v>0</v>
      </c>
      <c r="P312" s="156"/>
      <c r="Q312" s="156">
        <f t="shared" si="257"/>
        <v>0</v>
      </c>
      <c r="R312" s="156"/>
      <c r="S312" s="156">
        <f t="shared" si="258"/>
        <v>0</v>
      </c>
      <c r="T312" s="156"/>
      <c r="U312" s="165">
        <f t="shared" si="259"/>
        <v>0</v>
      </c>
      <c r="V312" s="156"/>
      <c r="W312" s="156">
        <f t="shared" si="260"/>
        <v>8185698</v>
      </c>
      <c r="X312" s="156"/>
      <c r="Y312" s="156">
        <f t="shared" si="261"/>
        <v>1091983</v>
      </c>
      <c r="Z312" s="156"/>
      <c r="AA312" s="156">
        <f t="shared" si="262"/>
        <v>0</v>
      </c>
      <c r="AB312" s="156"/>
      <c r="AC312" s="156">
        <f t="shared" si="263"/>
        <v>0</v>
      </c>
      <c r="AD312" s="156"/>
      <c r="AE312" s="156">
        <f t="shared" si="264"/>
        <v>0</v>
      </c>
      <c r="AF312" s="156"/>
      <c r="AG312" s="156">
        <f t="shared" si="265"/>
        <v>0</v>
      </c>
      <c r="AH312" s="149"/>
      <c r="AI312" s="157">
        <f t="shared" si="199"/>
        <v>0</v>
      </c>
      <c r="AJ312" s="149"/>
      <c r="AK312" s="149"/>
    </row>
    <row r="313" spans="1:37" s="47" customFormat="1" ht="15" customHeight="1">
      <c r="A313" s="222"/>
      <c r="B313" s="222"/>
      <c r="C313" s="159">
        <v>385</v>
      </c>
      <c r="D313" s="149"/>
      <c r="E313" s="222" t="s">
        <v>164</v>
      </c>
      <c r="F313" s="222"/>
      <c r="G313" s="261">
        <v>6</v>
      </c>
      <c r="H313" s="222"/>
      <c r="I313" s="262">
        <f>+'Linkin (2)'!O56</f>
        <v>17273670</v>
      </c>
      <c r="J313" s="149"/>
      <c r="K313" s="156">
        <f t="shared" si="254"/>
        <v>0</v>
      </c>
      <c r="L313" s="149"/>
      <c r="M313" s="156">
        <f t="shared" si="255"/>
        <v>0</v>
      </c>
      <c r="N313" s="156"/>
      <c r="O313" s="156">
        <f t="shared" si="256"/>
        <v>0</v>
      </c>
      <c r="P313" s="156"/>
      <c r="Q313" s="156">
        <f t="shared" si="257"/>
        <v>0</v>
      </c>
      <c r="R313" s="156"/>
      <c r="S313" s="156">
        <f t="shared" si="258"/>
        <v>0</v>
      </c>
      <c r="T313" s="156"/>
      <c r="U313" s="165">
        <f t="shared" si="259"/>
        <v>0</v>
      </c>
      <c r="V313" s="156"/>
      <c r="W313" s="156">
        <f t="shared" si="260"/>
        <v>7574504</v>
      </c>
      <c r="X313" s="156"/>
      <c r="Y313" s="156">
        <f t="shared" si="261"/>
        <v>7279125</v>
      </c>
      <c r="Z313" s="156"/>
      <c r="AA313" s="156">
        <f t="shared" si="262"/>
        <v>1143517</v>
      </c>
      <c r="AB313" s="156"/>
      <c r="AC313" s="156">
        <f t="shared" si="263"/>
        <v>699584</v>
      </c>
      <c r="AD313" s="156"/>
      <c r="AE313" s="156">
        <f t="shared" si="264"/>
        <v>145099</v>
      </c>
      <c r="AF313" s="156"/>
      <c r="AG313" s="156">
        <f t="shared" si="265"/>
        <v>431842</v>
      </c>
      <c r="AH313" s="149"/>
      <c r="AI313" s="157">
        <f t="shared" si="199"/>
        <v>1</v>
      </c>
      <c r="AJ313" s="149"/>
      <c r="AK313" s="149"/>
    </row>
    <row r="314" spans="1:37" s="47" customFormat="1" ht="15" customHeight="1">
      <c r="A314" s="149"/>
      <c r="B314" s="149"/>
      <c r="C314" s="261">
        <v>386</v>
      </c>
      <c r="D314" s="222"/>
      <c r="E314" s="222" t="s">
        <v>39</v>
      </c>
      <c r="F314" s="222"/>
      <c r="G314" s="392" t="s">
        <v>398</v>
      </c>
      <c r="H314" s="222"/>
      <c r="I314" s="262">
        <f>SUM('Linkin (2)'!O57:O60)</f>
        <v>500595</v>
      </c>
      <c r="J314" s="149"/>
      <c r="K314" s="156">
        <f t="shared" si="254"/>
        <v>0</v>
      </c>
      <c r="L314" s="149"/>
      <c r="M314" s="156">
        <f t="shared" si="255"/>
        <v>0</v>
      </c>
      <c r="N314" s="156"/>
      <c r="O314" s="156">
        <f t="shared" si="256"/>
        <v>0</v>
      </c>
      <c r="P314" s="156"/>
      <c r="Q314" s="156">
        <f t="shared" si="257"/>
        <v>0</v>
      </c>
      <c r="R314" s="156"/>
      <c r="S314" s="156">
        <f t="shared" si="258"/>
        <v>0</v>
      </c>
      <c r="T314" s="156"/>
      <c r="U314" s="165">
        <f t="shared" si="259"/>
        <v>0</v>
      </c>
      <c r="V314" s="156"/>
      <c r="W314" s="156">
        <f t="shared" si="260"/>
        <v>436319</v>
      </c>
      <c r="X314" s="156"/>
      <c r="Y314" s="156">
        <f t="shared" si="261"/>
        <v>58269</v>
      </c>
      <c r="Z314" s="156"/>
      <c r="AA314" s="156">
        <f t="shared" si="262"/>
        <v>2453</v>
      </c>
      <c r="AB314" s="156"/>
      <c r="AC314" s="156">
        <f t="shared" si="263"/>
        <v>2603</v>
      </c>
      <c r="AD314" s="156"/>
      <c r="AE314" s="156">
        <f t="shared" si="264"/>
        <v>200</v>
      </c>
      <c r="AF314" s="156"/>
      <c r="AG314" s="156">
        <f t="shared" si="265"/>
        <v>751</v>
      </c>
      <c r="AH314" s="149"/>
      <c r="AI314" s="157">
        <f t="shared" si="199"/>
        <v>0</v>
      </c>
      <c r="AJ314" s="149"/>
      <c r="AK314" s="149"/>
    </row>
    <row r="315" spans="1:37" s="29" customFormat="1" ht="15" customHeight="1">
      <c r="A315" s="150"/>
      <c r="B315" s="150"/>
      <c r="C315" s="164">
        <v>387</v>
      </c>
      <c r="D315" s="150"/>
      <c r="E315" s="88" t="s">
        <v>293</v>
      </c>
      <c r="F315" s="246"/>
      <c r="G315" s="395">
        <v>10</v>
      </c>
      <c r="H315" s="246"/>
      <c r="I315" s="262">
        <f>+'Linkin (2)'!O61</f>
        <v>1372294</v>
      </c>
      <c r="J315" s="150"/>
      <c r="K315" s="163">
        <f t="shared" si="254"/>
        <v>293808</v>
      </c>
      <c r="L315" s="150"/>
      <c r="M315" s="163">
        <f t="shared" si="255"/>
        <v>162068</v>
      </c>
      <c r="N315" s="150"/>
      <c r="O315" s="163">
        <f t="shared" si="256"/>
        <v>44051</v>
      </c>
      <c r="P315" s="163"/>
      <c r="Q315" s="163">
        <f t="shared" si="257"/>
        <v>43639</v>
      </c>
      <c r="R315" s="150"/>
      <c r="S315" s="163">
        <f t="shared" si="258"/>
        <v>93453</v>
      </c>
      <c r="T315" s="163"/>
      <c r="U315" s="284">
        <f t="shared" si="259"/>
        <v>30465</v>
      </c>
      <c r="V315" s="150"/>
      <c r="W315" s="163">
        <f t="shared" si="260"/>
        <v>478793</v>
      </c>
      <c r="X315" s="150"/>
      <c r="Y315" s="163">
        <f t="shared" si="261"/>
        <v>160558</v>
      </c>
      <c r="Z315" s="150"/>
      <c r="AA315" s="163">
        <f t="shared" si="262"/>
        <v>30602</v>
      </c>
      <c r="AB315" s="163"/>
      <c r="AC315" s="163">
        <f t="shared" si="263"/>
        <v>19624</v>
      </c>
      <c r="AD315" s="150"/>
      <c r="AE315" s="163">
        <f t="shared" si="264"/>
        <v>3842</v>
      </c>
      <c r="AF315" s="150"/>
      <c r="AG315" s="163">
        <f t="shared" si="265"/>
        <v>11390</v>
      </c>
      <c r="AH315" s="150"/>
      <c r="AI315" s="157">
        <f t="shared" si="199"/>
        <v>-1</v>
      </c>
      <c r="AJ315" s="150"/>
      <c r="AK315" s="150"/>
    </row>
    <row r="316" spans="1:37" ht="15" customHeight="1">
      <c r="C316" s="164">
        <v>387</v>
      </c>
      <c r="D316" s="150"/>
      <c r="E316" s="88" t="s">
        <v>806</v>
      </c>
      <c r="F316" s="222"/>
      <c r="G316" s="261">
        <v>10</v>
      </c>
      <c r="H316" s="222"/>
      <c r="I316" s="262">
        <f>+'Linkin (2)'!O62</f>
        <v>30710</v>
      </c>
      <c r="K316" s="163">
        <f t="shared" si="254"/>
        <v>6575</v>
      </c>
      <c r="L316" s="150"/>
      <c r="M316" s="163">
        <f t="shared" si="255"/>
        <v>3627</v>
      </c>
      <c r="N316" s="150"/>
      <c r="O316" s="163">
        <f t="shared" si="256"/>
        <v>986</v>
      </c>
      <c r="P316" s="163"/>
      <c r="Q316" s="163">
        <f t="shared" si="257"/>
        <v>977</v>
      </c>
      <c r="R316" s="150"/>
      <c r="S316" s="163">
        <f t="shared" si="258"/>
        <v>2091</v>
      </c>
      <c r="T316" s="163"/>
      <c r="U316" s="284">
        <f t="shared" si="259"/>
        <v>682</v>
      </c>
      <c r="V316" s="150"/>
      <c r="W316" s="163">
        <f t="shared" si="260"/>
        <v>10715</v>
      </c>
      <c r="X316" s="150"/>
      <c r="Y316" s="163">
        <f t="shared" si="261"/>
        <v>3593</v>
      </c>
      <c r="Z316" s="150"/>
      <c r="AA316" s="163">
        <f t="shared" si="262"/>
        <v>685</v>
      </c>
      <c r="AB316" s="163"/>
      <c r="AC316" s="163">
        <f t="shared" si="263"/>
        <v>439</v>
      </c>
      <c r="AD316" s="150"/>
      <c r="AE316" s="163">
        <f t="shared" si="264"/>
        <v>86</v>
      </c>
      <c r="AF316" s="150"/>
      <c r="AG316" s="163">
        <f t="shared" si="265"/>
        <v>255</v>
      </c>
      <c r="AI316" s="157">
        <f t="shared" si="199"/>
        <v>1</v>
      </c>
    </row>
    <row r="317" spans="1:37" ht="15" customHeight="1">
      <c r="B317" s="155"/>
      <c r="E317" s="222" t="s">
        <v>240</v>
      </c>
      <c r="F317" s="222"/>
      <c r="G317" s="261"/>
      <c r="H317" s="222"/>
      <c r="I317" s="474">
        <f>SUM(I298:I316)</f>
        <v>2533187731</v>
      </c>
      <c r="K317" s="270">
        <f>SUM(K298:K316)</f>
        <v>786294498</v>
      </c>
      <c r="M317" s="270">
        <f>SUM(M298:M316)</f>
        <v>433681716</v>
      </c>
      <c r="O317" s="270">
        <f>SUM(O298:O316)</f>
        <v>117542127</v>
      </c>
      <c r="Q317" s="270">
        <f>SUM(Q298:Q316)</f>
        <v>115593819</v>
      </c>
      <c r="S317" s="270">
        <f>SUM(S298:S316)</f>
        <v>95630427</v>
      </c>
      <c r="T317" s="163"/>
      <c r="U317" s="308">
        <f>SUM(U298:U316)</f>
        <v>48519649</v>
      </c>
      <c r="W317" s="270">
        <f>SUM(W298:W316)</f>
        <v>747990553</v>
      </c>
      <c r="Y317" s="270">
        <f>SUM(Y298:Y316)</f>
        <v>156804488</v>
      </c>
      <c r="AA317" s="270">
        <f>SUM(AA298:AA316)</f>
        <v>14123668</v>
      </c>
      <c r="AC317" s="270">
        <f>SUM(AC298:AC316)</f>
        <v>10316312</v>
      </c>
      <c r="AE317" s="270">
        <f>SUM(AE298:AE316)</f>
        <v>1623448</v>
      </c>
      <c r="AG317" s="270">
        <f>SUM(AG298:AG316)</f>
        <v>5067028</v>
      </c>
      <c r="AI317" s="157">
        <f t="shared" si="199"/>
        <v>2</v>
      </c>
    </row>
    <row r="318" spans="1:37" ht="9" customHeight="1">
      <c r="E318" s="222"/>
      <c r="F318" s="222"/>
      <c r="G318" s="261"/>
      <c r="H318" s="222"/>
      <c r="I318" s="285"/>
      <c r="U318" s="165"/>
      <c r="AI318" s="157">
        <f t="shared" si="199"/>
        <v>0</v>
      </c>
    </row>
    <row r="319" spans="1:37" ht="15" customHeight="1">
      <c r="A319" s="317" t="s">
        <v>435</v>
      </c>
      <c r="B319" s="317" t="s">
        <v>436</v>
      </c>
      <c r="C319" s="27" t="s">
        <v>241</v>
      </c>
      <c r="E319" s="222"/>
      <c r="F319" s="222"/>
      <c r="G319" s="261"/>
      <c r="H319" s="222"/>
      <c r="I319" s="285"/>
      <c r="U319" s="165"/>
      <c r="AI319" s="157">
        <f t="shared" si="199"/>
        <v>0</v>
      </c>
    </row>
    <row r="320" spans="1:37" ht="4.9000000000000004" customHeight="1">
      <c r="A320" s="318"/>
      <c r="B320" s="318"/>
      <c r="C320" s="149" t="s">
        <v>217</v>
      </c>
      <c r="E320" s="222" t="s">
        <v>218</v>
      </c>
      <c r="F320" s="222"/>
      <c r="G320" s="261"/>
      <c r="H320" s="222"/>
      <c r="I320" s="285"/>
      <c r="U320" s="165"/>
      <c r="AI320" s="157">
        <f t="shared" si="199"/>
        <v>0</v>
      </c>
    </row>
    <row r="321" spans="1:47" ht="15" customHeight="1">
      <c r="A321" s="318"/>
      <c r="B321" s="318"/>
      <c r="C321" s="159">
        <v>389</v>
      </c>
      <c r="E321" s="260" t="s">
        <v>535</v>
      </c>
      <c r="F321" s="222"/>
      <c r="G321" s="261">
        <v>12</v>
      </c>
      <c r="H321" s="222"/>
      <c r="I321" s="262">
        <f>+'Linkin (2)'!K121+'Linkin (2)'!K122</f>
        <v>3337189</v>
      </c>
      <c r="K321" s="156">
        <f t="shared" ref="K321:K331" si="266">ROUND(VLOOKUP($G321,factors,+K$376)*$I321,0)</f>
        <v>985472</v>
      </c>
      <c r="M321" s="156">
        <f t="shared" ref="M321:M331" si="267">ROUND(VLOOKUP($G321,factors,+M$376)*$I321,0)</f>
        <v>329714</v>
      </c>
      <c r="N321" s="156"/>
      <c r="O321" s="156">
        <f t="shared" ref="O321:O331" si="268">ROUND(VLOOKUP($G321,factors,+O$376)*$I321,0)</f>
        <v>77089</v>
      </c>
      <c r="P321" s="156"/>
      <c r="Q321" s="156">
        <f t="shared" ref="Q321:Q331" si="269">ROUND(VLOOKUP($G321,factors,+Q$376)*$I321,0)</f>
        <v>76422</v>
      </c>
      <c r="R321" s="156"/>
      <c r="S321" s="156">
        <f t="shared" ref="S321:S331" si="270">ROUND(VLOOKUP($G321,factors,+S$376)*$I321,0)</f>
        <v>131819</v>
      </c>
      <c r="T321" s="156"/>
      <c r="U321" s="165">
        <f t="shared" ref="U321:U331" si="271">ROUND(VLOOKUP($G321,factors,+U$376)*$I321,0)</f>
        <v>46721</v>
      </c>
      <c r="V321" s="156"/>
      <c r="W321" s="156">
        <f t="shared" ref="W321:W331" si="272">ROUND(VLOOKUP($G321,factors,+W$376)*$I321,0)</f>
        <v>1345555</v>
      </c>
      <c r="X321" s="156"/>
      <c r="Y321" s="156">
        <f t="shared" ref="Y321:Y331" si="273">ROUND(VLOOKUP($G321,factors,+Y$376)*$I321,0)</f>
        <v>255629</v>
      </c>
      <c r="Z321" s="156"/>
      <c r="AA321" s="156">
        <f t="shared" ref="AA321:AA331" si="274">ROUND(VLOOKUP($G321,factors,+AA$376)*$I321,0)</f>
        <v>40714</v>
      </c>
      <c r="AB321" s="156"/>
      <c r="AC321" s="156">
        <f t="shared" ref="AC321:AC331" si="275">ROUND(VLOOKUP($G321,factors,+AC$376)*$I321,0)</f>
        <v>27365</v>
      </c>
      <c r="AD321" s="156"/>
      <c r="AE321" s="156">
        <f t="shared" ref="AE321:AE331" si="276">ROUND(VLOOKUP($G321,factors,+AE$376)*$I321,0)</f>
        <v>5673</v>
      </c>
      <c r="AF321" s="156"/>
      <c r="AG321" s="156">
        <f t="shared" ref="AG321:AG331" si="277">ROUND(VLOOKUP($G321,factors,+AG$376)*$I321,0)</f>
        <v>15017</v>
      </c>
      <c r="AI321" s="157">
        <f t="shared" si="199"/>
        <v>1</v>
      </c>
    </row>
    <row r="322" spans="1:47" ht="15" customHeight="1">
      <c r="A322" s="896"/>
      <c r="B322" s="896"/>
      <c r="C322" s="159">
        <v>390</v>
      </c>
      <c r="E322" s="260" t="s">
        <v>289</v>
      </c>
      <c r="F322" s="222"/>
      <c r="G322" s="261">
        <v>12</v>
      </c>
      <c r="H322" s="222"/>
      <c r="I322" s="285">
        <f>+'Linkin (2)'!O82+'Linkin (2)'!O87-'Linkin (2)'!O154</f>
        <v>83220141</v>
      </c>
      <c r="K322" s="156">
        <f t="shared" si="266"/>
        <v>24574908</v>
      </c>
      <c r="M322" s="156">
        <f t="shared" si="267"/>
        <v>8222150</v>
      </c>
      <c r="N322" s="156"/>
      <c r="O322" s="156">
        <f t="shared" si="268"/>
        <v>1922385</v>
      </c>
      <c r="P322" s="156"/>
      <c r="Q322" s="156">
        <f t="shared" si="269"/>
        <v>1905741</v>
      </c>
      <c r="R322" s="156"/>
      <c r="S322" s="156">
        <f t="shared" si="270"/>
        <v>3287196</v>
      </c>
      <c r="T322" s="156"/>
      <c r="U322" s="165">
        <f t="shared" si="271"/>
        <v>1165082</v>
      </c>
      <c r="V322" s="156"/>
      <c r="W322" s="156">
        <f t="shared" si="272"/>
        <v>33554361</v>
      </c>
      <c r="X322" s="156"/>
      <c r="Y322" s="156">
        <f t="shared" si="273"/>
        <v>6374663</v>
      </c>
      <c r="Z322" s="156"/>
      <c r="AA322" s="156">
        <f t="shared" si="274"/>
        <v>1015286</v>
      </c>
      <c r="AB322" s="156"/>
      <c r="AC322" s="156">
        <f t="shared" si="275"/>
        <v>682405</v>
      </c>
      <c r="AD322" s="156"/>
      <c r="AE322" s="156">
        <f t="shared" si="276"/>
        <v>141474</v>
      </c>
      <c r="AF322" s="156"/>
      <c r="AG322" s="156">
        <f t="shared" si="277"/>
        <v>374491</v>
      </c>
      <c r="AI322" s="157">
        <f t="shared" si="199"/>
        <v>1</v>
      </c>
    </row>
    <row r="323" spans="1:47" ht="15" customHeight="1">
      <c r="A323" s="897">
        <v>981786</v>
      </c>
      <c r="B323" s="897">
        <v>14355447</v>
      </c>
      <c r="C323" s="159">
        <v>391</v>
      </c>
      <c r="E323" s="260" t="s">
        <v>294</v>
      </c>
      <c r="F323" s="222"/>
      <c r="G323" s="261">
        <v>12</v>
      </c>
      <c r="H323" s="222"/>
      <c r="I323" s="285">
        <f>+SUM('Linkin (2)'!O89:O92)</f>
        <v>4697297</v>
      </c>
      <c r="K323" s="156">
        <f t="shared" si="266"/>
        <v>1387112</v>
      </c>
      <c r="M323" s="156">
        <f t="shared" si="267"/>
        <v>464093</v>
      </c>
      <c r="N323" s="156"/>
      <c r="O323" s="156">
        <f t="shared" si="268"/>
        <v>108508</v>
      </c>
      <c r="P323" s="156"/>
      <c r="Q323" s="156">
        <f t="shared" si="269"/>
        <v>107568</v>
      </c>
      <c r="R323" s="156"/>
      <c r="S323" s="156">
        <f t="shared" si="270"/>
        <v>185543</v>
      </c>
      <c r="T323" s="156"/>
      <c r="U323" s="165">
        <f t="shared" si="271"/>
        <v>65762</v>
      </c>
      <c r="V323" s="156"/>
      <c r="W323" s="156">
        <f t="shared" si="272"/>
        <v>1893950</v>
      </c>
      <c r="X323" s="156"/>
      <c r="Y323" s="156">
        <f t="shared" si="273"/>
        <v>359813</v>
      </c>
      <c r="Z323" s="156"/>
      <c r="AA323" s="156">
        <f t="shared" si="274"/>
        <v>57307</v>
      </c>
      <c r="AB323" s="156"/>
      <c r="AC323" s="156">
        <f t="shared" si="275"/>
        <v>38518</v>
      </c>
      <c r="AD323" s="156"/>
      <c r="AE323" s="156">
        <f t="shared" si="276"/>
        <v>7985</v>
      </c>
      <c r="AF323" s="156"/>
      <c r="AG323" s="156">
        <f t="shared" si="277"/>
        <v>21138</v>
      </c>
      <c r="AI323" s="157">
        <f t="shared" si="199"/>
        <v>0</v>
      </c>
    </row>
    <row r="324" spans="1:47" ht="15" customHeight="1">
      <c r="A324" s="897">
        <v>10473</v>
      </c>
      <c r="B324" s="896"/>
      <c r="C324" s="159">
        <v>392</v>
      </c>
      <c r="E324" s="260" t="s">
        <v>295</v>
      </c>
      <c r="F324" s="222"/>
      <c r="G324" s="261">
        <v>12</v>
      </c>
      <c r="H324" s="222"/>
      <c r="I324" s="285">
        <f>+SUM('Linkin (2)'!O93:O98)</f>
        <v>21352005</v>
      </c>
      <c r="K324" s="156">
        <f t="shared" si="266"/>
        <v>6305247</v>
      </c>
      <c r="M324" s="156">
        <f t="shared" si="267"/>
        <v>2109578</v>
      </c>
      <c r="N324" s="156"/>
      <c r="O324" s="156">
        <f t="shared" si="268"/>
        <v>493231</v>
      </c>
      <c r="P324" s="156"/>
      <c r="Q324" s="156">
        <f t="shared" si="269"/>
        <v>488961</v>
      </c>
      <c r="R324" s="156"/>
      <c r="S324" s="156">
        <f t="shared" si="270"/>
        <v>843404</v>
      </c>
      <c r="T324" s="156"/>
      <c r="U324" s="165">
        <f t="shared" si="271"/>
        <v>298928</v>
      </c>
      <c r="V324" s="156"/>
      <c r="W324" s="156">
        <f t="shared" si="272"/>
        <v>8609128</v>
      </c>
      <c r="X324" s="156"/>
      <c r="Y324" s="156">
        <f t="shared" si="273"/>
        <v>1635564</v>
      </c>
      <c r="Z324" s="156"/>
      <c r="AA324" s="156">
        <f t="shared" si="274"/>
        <v>260494</v>
      </c>
      <c r="AB324" s="156"/>
      <c r="AC324" s="156">
        <f t="shared" si="275"/>
        <v>175086</v>
      </c>
      <c r="AD324" s="156"/>
      <c r="AE324" s="156">
        <f t="shared" si="276"/>
        <v>36298</v>
      </c>
      <c r="AF324" s="156"/>
      <c r="AG324" s="156">
        <f t="shared" si="277"/>
        <v>96084</v>
      </c>
      <c r="AI324" s="157">
        <f t="shared" si="199"/>
        <v>-2</v>
      </c>
    </row>
    <row r="325" spans="1:47" ht="15" customHeight="1">
      <c r="A325" s="319"/>
      <c r="B325" s="318"/>
      <c r="C325" s="159">
        <v>393</v>
      </c>
      <c r="E325" s="260" t="s">
        <v>771</v>
      </c>
      <c r="F325" s="222"/>
      <c r="G325" s="261">
        <v>12</v>
      </c>
      <c r="H325" s="222"/>
      <c r="I325" s="285">
        <f>+'Linkin (2)'!O99</f>
        <v>13121</v>
      </c>
      <c r="K325" s="156">
        <f t="shared" si="266"/>
        <v>3875</v>
      </c>
      <c r="M325" s="156">
        <f t="shared" si="267"/>
        <v>1296</v>
      </c>
      <c r="N325" s="156"/>
      <c r="O325" s="156">
        <f t="shared" si="268"/>
        <v>303</v>
      </c>
      <c r="P325" s="156"/>
      <c r="Q325" s="156">
        <f t="shared" si="269"/>
        <v>300</v>
      </c>
      <c r="R325" s="156"/>
      <c r="S325" s="156">
        <f t="shared" si="270"/>
        <v>518</v>
      </c>
      <c r="T325" s="156"/>
      <c r="U325" s="165">
        <f t="shared" si="271"/>
        <v>184</v>
      </c>
      <c r="V325" s="156"/>
      <c r="W325" s="156">
        <f t="shared" si="272"/>
        <v>5290</v>
      </c>
      <c r="X325" s="156"/>
      <c r="Y325" s="156">
        <f t="shared" si="273"/>
        <v>1005</v>
      </c>
      <c r="Z325" s="156"/>
      <c r="AA325" s="156">
        <f t="shared" si="274"/>
        <v>160</v>
      </c>
      <c r="AB325" s="156"/>
      <c r="AC325" s="156">
        <f t="shared" si="275"/>
        <v>108</v>
      </c>
      <c r="AD325" s="156"/>
      <c r="AE325" s="156">
        <f t="shared" si="276"/>
        <v>22</v>
      </c>
      <c r="AF325" s="156"/>
      <c r="AG325" s="156">
        <f t="shared" si="277"/>
        <v>59</v>
      </c>
      <c r="AI325" s="157">
        <f t="shared" si="199"/>
        <v>-1</v>
      </c>
    </row>
    <row r="326" spans="1:47" ht="15" customHeight="1">
      <c r="C326" s="159">
        <v>394</v>
      </c>
      <c r="E326" s="260" t="s">
        <v>296</v>
      </c>
      <c r="F326" s="222"/>
      <c r="G326" s="261">
        <v>12</v>
      </c>
      <c r="H326" s="222"/>
      <c r="I326" s="285">
        <f>+'Linkin (2)'!O100</f>
        <v>17636305</v>
      </c>
      <c r="K326" s="156">
        <f t="shared" si="266"/>
        <v>5208001</v>
      </c>
      <c r="M326" s="156">
        <f t="shared" si="267"/>
        <v>1742467</v>
      </c>
      <c r="N326" s="156"/>
      <c r="O326" s="156">
        <f t="shared" si="268"/>
        <v>407399</v>
      </c>
      <c r="P326" s="156"/>
      <c r="Q326" s="156">
        <f t="shared" si="269"/>
        <v>403871</v>
      </c>
      <c r="R326" s="156"/>
      <c r="S326" s="156">
        <f t="shared" si="270"/>
        <v>696634</v>
      </c>
      <c r="T326" s="156"/>
      <c r="U326" s="165">
        <f t="shared" si="271"/>
        <v>246908</v>
      </c>
      <c r="V326" s="156"/>
      <c r="W326" s="156">
        <f t="shared" si="272"/>
        <v>7110958</v>
      </c>
      <c r="X326" s="156"/>
      <c r="Y326" s="156">
        <f t="shared" si="273"/>
        <v>1350941</v>
      </c>
      <c r="Z326" s="156"/>
      <c r="AA326" s="156">
        <f t="shared" si="274"/>
        <v>215163</v>
      </c>
      <c r="AB326" s="156"/>
      <c r="AC326" s="156">
        <f t="shared" si="275"/>
        <v>144618</v>
      </c>
      <c r="AD326" s="156"/>
      <c r="AE326" s="156">
        <f t="shared" si="276"/>
        <v>29982</v>
      </c>
      <c r="AF326" s="156"/>
      <c r="AG326" s="156">
        <f t="shared" si="277"/>
        <v>79363</v>
      </c>
      <c r="AI326" s="157">
        <f t="shared" si="199"/>
        <v>0</v>
      </c>
    </row>
    <row r="327" spans="1:47" ht="15" customHeight="1">
      <c r="C327" s="159">
        <v>393</v>
      </c>
      <c r="E327" s="260" t="s">
        <v>772</v>
      </c>
      <c r="F327" s="222"/>
      <c r="G327" s="261">
        <v>12</v>
      </c>
      <c r="H327" s="222"/>
      <c r="I327" s="285">
        <f>+'Linkin (2)'!O101</f>
        <v>363201</v>
      </c>
      <c r="K327" s="156">
        <f t="shared" si="266"/>
        <v>107253</v>
      </c>
      <c r="M327" s="156">
        <f t="shared" si="267"/>
        <v>35884</v>
      </c>
      <c r="N327" s="156"/>
      <c r="O327" s="156">
        <f t="shared" si="268"/>
        <v>8390</v>
      </c>
      <c r="P327" s="156"/>
      <c r="Q327" s="156">
        <f t="shared" si="269"/>
        <v>8317</v>
      </c>
      <c r="R327" s="156"/>
      <c r="S327" s="156">
        <f t="shared" si="270"/>
        <v>14346</v>
      </c>
      <c r="T327" s="156"/>
      <c r="U327" s="165">
        <f t="shared" si="271"/>
        <v>5085</v>
      </c>
      <c r="V327" s="156"/>
      <c r="W327" s="156">
        <f t="shared" si="272"/>
        <v>146443</v>
      </c>
      <c r="X327" s="156"/>
      <c r="Y327" s="156">
        <f t="shared" si="273"/>
        <v>27821</v>
      </c>
      <c r="Z327" s="156"/>
      <c r="AA327" s="156">
        <f t="shared" si="274"/>
        <v>4431</v>
      </c>
      <c r="AB327" s="156"/>
      <c r="AC327" s="156">
        <f t="shared" si="275"/>
        <v>2978</v>
      </c>
      <c r="AD327" s="156"/>
      <c r="AE327" s="156">
        <f t="shared" si="276"/>
        <v>617</v>
      </c>
      <c r="AF327" s="156"/>
      <c r="AG327" s="156">
        <f t="shared" si="277"/>
        <v>1634</v>
      </c>
      <c r="AI327" s="157">
        <f t="shared" si="199"/>
        <v>-2</v>
      </c>
    </row>
    <row r="328" spans="1:47" ht="15" customHeight="1">
      <c r="C328" s="159">
        <v>396</v>
      </c>
      <c r="E328" s="260" t="s">
        <v>297</v>
      </c>
      <c r="F328" s="222"/>
      <c r="G328" s="261">
        <v>12</v>
      </c>
      <c r="H328" s="222"/>
      <c r="I328" s="285">
        <f>+'Linkin (2)'!O102</f>
        <v>3185538</v>
      </c>
      <c r="K328" s="156">
        <f t="shared" si="266"/>
        <v>940689</v>
      </c>
      <c r="M328" s="156">
        <f t="shared" si="267"/>
        <v>314731</v>
      </c>
      <c r="N328" s="156"/>
      <c r="O328" s="156">
        <f t="shared" si="268"/>
        <v>73586</v>
      </c>
      <c r="P328" s="156"/>
      <c r="Q328" s="156">
        <f t="shared" si="269"/>
        <v>72949</v>
      </c>
      <c r="R328" s="156"/>
      <c r="S328" s="156">
        <f t="shared" si="270"/>
        <v>125829</v>
      </c>
      <c r="T328" s="156"/>
      <c r="U328" s="165">
        <f t="shared" si="271"/>
        <v>44598</v>
      </c>
      <c r="V328" s="156"/>
      <c r="W328" s="156">
        <f t="shared" si="272"/>
        <v>1284409</v>
      </c>
      <c r="X328" s="156"/>
      <c r="Y328" s="156">
        <f t="shared" si="273"/>
        <v>244012</v>
      </c>
      <c r="Z328" s="156"/>
      <c r="AA328" s="156">
        <f t="shared" si="274"/>
        <v>38864</v>
      </c>
      <c r="AB328" s="156"/>
      <c r="AC328" s="156">
        <f t="shared" si="275"/>
        <v>26121</v>
      </c>
      <c r="AD328" s="156"/>
      <c r="AE328" s="156">
        <f t="shared" si="276"/>
        <v>5415</v>
      </c>
      <c r="AF328" s="156"/>
      <c r="AG328" s="156">
        <f t="shared" si="277"/>
        <v>14335</v>
      </c>
      <c r="AI328" s="157">
        <f t="shared" si="199"/>
        <v>0</v>
      </c>
    </row>
    <row r="329" spans="1:47" ht="15" customHeight="1">
      <c r="C329" s="159">
        <v>397</v>
      </c>
      <c r="E329" s="260" t="s">
        <v>298</v>
      </c>
      <c r="F329" s="222"/>
      <c r="G329" s="261">
        <v>12</v>
      </c>
      <c r="H329" s="246"/>
      <c r="I329" s="285">
        <f>+'Linkin (2)'!O103</f>
        <v>597171</v>
      </c>
      <c r="J329" s="150"/>
      <c r="K329" s="162">
        <f t="shared" si="266"/>
        <v>176345</v>
      </c>
      <c r="L329" s="150"/>
      <c r="M329" s="162">
        <f t="shared" si="267"/>
        <v>59000</v>
      </c>
      <c r="N329" s="162"/>
      <c r="O329" s="162">
        <f t="shared" si="268"/>
        <v>13795</v>
      </c>
      <c r="P329" s="162"/>
      <c r="Q329" s="162">
        <f t="shared" si="269"/>
        <v>13675</v>
      </c>
      <c r="R329" s="162"/>
      <c r="S329" s="162">
        <f t="shared" si="270"/>
        <v>23588</v>
      </c>
      <c r="T329" s="162"/>
      <c r="U329" s="284">
        <f t="shared" si="271"/>
        <v>8360</v>
      </c>
      <c r="V329" s="162"/>
      <c r="W329" s="162">
        <f t="shared" si="272"/>
        <v>240779</v>
      </c>
      <c r="X329" s="162"/>
      <c r="Y329" s="162">
        <f t="shared" si="273"/>
        <v>45743</v>
      </c>
      <c r="Z329" s="162"/>
      <c r="AA329" s="162">
        <f t="shared" si="274"/>
        <v>7285</v>
      </c>
      <c r="AB329" s="162"/>
      <c r="AC329" s="162">
        <f t="shared" si="275"/>
        <v>4897</v>
      </c>
      <c r="AD329" s="162"/>
      <c r="AE329" s="162">
        <f t="shared" si="276"/>
        <v>1015</v>
      </c>
      <c r="AF329" s="162"/>
      <c r="AG329" s="162">
        <f t="shared" si="277"/>
        <v>2687</v>
      </c>
      <c r="AH329" s="150"/>
      <c r="AI329" s="157">
        <f t="shared" si="199"/>
        <v>-2</v>
      </c>
      <c r="AJ329" s="150"/>
      <c r="AK329" s="150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</row>
    <row r="330" spans="1:47" s="47" customFormat="1" ht="15" customHeight="1">
      <c r="A330" s="149"/>
      <c r="B330" s="149"/>
      <c r="C330" s="159">
        <v>398</v>
      </c>
      <c r="D330" s="149"/>
      <c r="E330" s="260" t="s">
        <v>165</v>
      </c>
      <c r="F330" s="222"/>
      <c r="G330" s="261">
        <v>12</v>
      </c>
      <c r="H330" s="246"/>
      <c r="I330" s="285">
        <f>+'Linkin (2)'!O104</f>
        <v>9053342</v>
      </c>
      <c r="J330" s="150"/>
      <c r="K330" s="162">
        <f t="shared" si="266"/>
        <v>2673452</v>
      </c>
      <c r="L330" s="150"/>
      <c r="M330" s="162">
        <f t="shared" si="267"/>
        <v>894470</v>
      </c>
      <c r="N330" s="162"/>
      <c r="O330" s="162">
        <f t="shared" si="268"/>
        <v>209132</v>
      </c>
      <c r="P330" s="162"/>
      <c r="Q330" s="162">
        <f t="shared" si="269"/>
        <v>207322</v>
      </c>
      <c r="R330" s="162"/>
      <c r="S330" s="162">
        <f t="shared" si="270"/>
        <v>357607</v>
      </c>
      <c r="T330" s="162"/>
      <c r="U330" s="284">
        <f t="shared" si="271"/>
        <v>126747</v>
      </c>
      <c r="V330" s="162"/>
      <c r="W330" s="162">
        <f t="shared" si="272"/>
        <v>3650307</v>
      </c>
      <c r="X330" s="162"/>
      <c r="Y330" s="162">
        <f t="shared" si="273"/>
        <v>693486</v>
      </c>
      <c r="Z330" s="162"/>
      <c r="AA330" s="162">
        <f t="shared" si="274"/>
        <v>110451</v>
      </c>
      <c r="AB330" s="162"/>
      <c r="AC330" s="162">
        <f t="shared" si="275"/>
        <v>74237</v>
      </c>
      <c r="AD330" s="162"/>
      <c r="AE330" s="162">
        <f t="shared" si="276"/>
        <v>15391</v>
      </c>
      <c r="AF330" s="162"/>
      <c r="AG330" s="162">
        <f t="shared" si="277"/>
        <v>40740</v>
      </c>
      <c r="AH330" s="150"/>
      <c r="AI330" s="157">
        <f t="shared" si="199"/>
        <v>0</v>
      </c>
      <c r="AJ330" s="150"/>
      <c r="AK330" s="150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</row>
    <row r="331" spans="1:47" s="47" customFormat="1" ht="15" customHeight="1">
      <c r="A331" s="149"/>
      <c r="B331" s="149"/>
      <c r="C331" s="159">
        <v>399</v>
      </c>
      <c r="D331" s="149"/>
      <c r="E331" s="260" t="s">
        <v>40</v>
      </c>
      <c r="F331" s="222"/>
      <c r="G331" s="261">
        <v>12</v>
      </c>
      <c r="H331" s="246"/>
      <c r="I331" s="393">
        <f>+'Linkin (2)'!O105</f>
        <v>0</v>
      </c>
      <c r="J331" s="150"/>
      <c r="K331" s="161">
        <f t="shared" si="266"/>
        <v>0</v>
      </c>
      <c r="L331" s="150"/>
      <c r="M331" s="161">
        <f t="shared" si="267"/>
        <v>0</v>
      </c>
      <c r="N331" s="162"/>
      <c r="O331" s="161">
        <f t="shared" si="268"/>
        <v>0</v>
      </c>
      <c r="P331" s="162"/>
      <c r="Q331" s="161">
        <f t="shared" si="269"/>
        <v>0</v>
      </c>
      <c r="R331" s="162"/>
      <c r="S331" s="161">
        <f t="shared" si="270"/>
        <v>0</v>
      </c>
      <c r="T331" s="162"/>
      <c r="U331" s="309">
        <f t="shared" si="271"/>
        <v>0</v>
      </c>
      <c r="V331" s="162"/>
      <c r="W331" s="161">
        <f t="shared" si="272"/>
        <v>0</v>
      </c>
      <c r="X331" s="162"/>
      <c r="Y331" s="161">
        <f t="shared" si="273"/>
        <v>0</v>
      </c>
      <c r="Z331" s="162"/>
      <c r="AA331" s="161">
        <f t="shared" si="274"/>
        <v>0</v>
      </c>
      <c r="AB331" s="162"/>
      <c r="AC331" s="161">
        <f t="shared" si="275"/>
        <v>0</v>
      </c>
      <c r="AD331" s="162"/>
      <c r="AE331" s="161">
        <f t="shared" si="276"/>
        <v>0</v>
      </c>
      <c r="AF331" s="162"/>
      <c r="AG331" s="161">
        <f t="shared" si="277"/>
        <v>0</v>
      </c>
      <c r="AH331" s="150"/>
      <c r="AI331" s="157">
        <f t="shared" si="199"/>
        <v>0</v>
      </c>
      <c r="AJ331" s="150"/>
      <c r="AK331" s="150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</row>
    <row r="332" spans="1:47" ht="15" customHeight="1">
      <c r="E332" s="222" t="s">
        <v>242</v>
      </c>
      <c r="F332" s="222"/>
      <c r="G332" s="261"/>
      <c r="H332" s="222"/>
      <c r="I332" s="393">
        <f>SUM(I321:I331)</f>
        <v>143455310</v>
      </c>
      <c r="K332" s="160">
        <f>SUM(K321:K331)</f>
        <v>42362354</v>
      </c>
      <c r="M332" s="160">
        <f>SUM(M321:M331)</f>
        <v>14173383</v>
      </c>
      <c r="O332" s="160">
        <f>SUM(O321:O331)</f>
        <v>3313818</v>
      </c>
      <c r="P332" s="163"/>
      <c r="Q332" s="160">
        <f>SUM(Q321:Q331)</f>
        <v>3285126</v>
      </c>
      <c r="S332" s="160">
        <f>SUM(S321:S331)</f>
        <v>5666484</v>
      </c>
      <c r="T332" s="163"/>
      <c r="U332" s="309">
        <f>SUM(U321:U331)</f>
        <v>2008375</v>
      </c>
      <c r="W332" s="160">
        <f>SUM(W321:W331)</f>
        <v>57841180</v>
      </c>
      <c r="Y332" s="160">
        <f>SUM(Y321:Y331)</f>
        <v>10988677</v>
      </c>
      <c r="AA332" s="160">
        <f>SUM(AA321:AA331)</f>
        <v>1750155</v>
      </c>
      <c r="AB332" s="163"/>
      <c r="AC332" s="160">
        <f>SUM(AC321:AC331)</f>
        <v>1176333</v>
      </c>
      <c r="AE332" s="160">
        <f>SUM(AE321:AE331)</f>
        <v>243872</v>
      </c>
      <c r="AG332" s="160">
        <f>SUM(AG321:AG331)</f>
        <v>645548</v>
      </c>
      <c r="AI332" s="157">
        <f t="shared" si="199"/>
        <v>-5</v>
      </c>
    </row>
    <row r="333" spans="1:47" ht="10.9" customHeight="1">
      <c r="E333" s="222"/>
      <c r="F333" s="222"/>
      <c r="G333" s="261"/>
      <c r="H333" s="222"/>
      <c r="I333" s="285"/>
      <c r="U333" s="165"/>
      <c r="AI333" s="157">
        <f t="shared" si="199"/>
        <v>0</v>
      </c>
    </row>
    <row r="334" spans="1:47" ht="15" customHeight="1">
      <c r="E334" s="222" t="s">
        <v>166</v>
      </c>
      <c r="F334" s="222"/>
      <c r="G334" s="261"/>
      <c r="H334" s="222"/>
      <c r="I334" s="393">
        <f>+I317+I332+I295+I284+I281</f>
        <v>2699194776</v>
      </c>
      <c r="J334" s="393">
        <f t="shared" ref="J334:AG334" si="278">+J317+J332+J295+J284+J281</f>
        <v>0</v>
      </c>
      <c r="K334" s="393">
        <f t="shared" si="278"/>
        <v>840570679</v>
      </c>
      <c r="L334" s="393">
        <f t="shared" si="278"/>
        <v>0</v>
      </c>
      <c r="M334" s="393">
        <f t="shared" si="278"/>
        <v>454367973</v>
      </c>
      <c r="N334" s="393">
        <f t="shared" si="278"/>
        <v>0</v>
      </c>
      <c r="O334" s="393">
        <f t="shared" si="278"/>
        <v>122580398</v>
      </c>
      <c r="P334" s="393">
        <f t="shared" si="278"/>
        <v>0</v>
      </c>
      <c r="Q334" s="393">
        <f t="shared" si="278"/>
        <v>120574768</v>
      </c>
      <c r="R334" s="393">
        <f t="shared" si="278"/>
        <v>0</v>
      </c>
      <c r="S334" s="393">
        <f t="shared" si="278"/>
        <v>101296911</v>
      </c>
      <c r="T334" s="393">
        <f t="shared" si="278"/>
        <v>0</v>
      </c>
      <c r="U334" s="393">
        <f t="shared" si="278"/>
        <v>51232781</v>
      </c>
      <c r="V334" s="393">
        <f t="shared" si="278"/>
        <v>0</v>
      </c>
      <c r="W334" s="393">
        <f t="shared" si="278"/>
        <v>805831733</v>
      </c>
      <c r="X334" s="393">
        <f t="shared" si="278"/>
        <v>0</v>
      </c>
      <c r="Y334" s="393">
        <f t="shared" si="278"/>
        <v>167793165</v>
      </c>
      <c r="Z334" s="393">
        <f t="shared" si="278"/>
        <v>0</v>
      </c>
      <c r="AA334" s="393">
        <f t="shared" si="278"/>
        <v>15873823</v>
      </c>
      <c r="AB334" s="393">
        <f t="shared" si="278"/>
        <v>0</v>
      </c>
      <c r="AC334" s="393">
        <f t="shared" si="278"/>
        <v>11492645</v>
      </c>
      <c r="AD334" s="393">
        <f t="shared" si="278"/>
        <v>0</v>
      </c>
      <c r="AE334" s="393">
        <f t="shared" si="278"/>
        <v>1867320</v>
      </c>
      <c r="AF334" s="393">
        <f t="shared" si="278"/>
        <v>0</v>
      </c>
      <c r="AG334" s="393">
        <f t="shared" si="278"/>
        <v>5712576</v>
      </c>
      <c r="AH334" s="155"/>
      <c r="AI334" s="165">
        <f t="shared" si="199"/>
        <v>-4</v>
      </c>
      <c r="AJ334" s="155"/>
    </row>
    <row r="335" spans="1:47" ht="10.9" customHeight="1">
      <c r="E335" s="222"/>
      <c r="F335" s="222"/>
      <c r="G335" s="261"/>
      <c r="H335" s="222"/>
      <c r="I335" s="397"/>
      <c r="K335" s="163"/>
      <c r="M335" s="163"/>
      <c r="O335" s="163"/>
      <c r="Q335" s="163"/>
      <c r="S335" s="163"/>
      <c r="T335" s="163"/>
      <c r="U335" s="284"/>
      <c r="W335" s="163"/>
      <c r="Y335" s="163"/>
      <c r="AA335" s="163"/>
      <c r="AC335" s="163"/>
      <c r="AE335" s="163"/>
      <c r="AG335" s="163"/>
      <c r="AH335" s="155"/>
      <c r="AI335" s="157"/>
    </row>
    <row r="336" spans="1:47" ht="15" customHeight="1">
      <c r="B336" s="149">
        <v>0.91239999999999999</v>
      </c>
      <c r="C336" s="27" t="s">
        <v>774</v>
      </c>
      <c r="E336" s="476"/>
      <c r="F336" s="222"/>
      <c r="G336" s="261"/>
      <c r="H336" s="222"/>
      <c r="I336" s="397"/>
      <c r="K336" s="163"/>
      <c r="M336" s="163"/>
      <c r="O336" s="163"/>
      <c r="Q336" s="163"/>
      <c r="S336" s="163"/>
      <c r="T336" s="163"/>
      <c r="U336" s="284"/>
      <c r="W336" s="163"/>
      <c r="Y336" s="163"/>
      <c r="AA336" s="163"/>
      <c r="AC336" s="163"/>
      <c r="AE336" s="163"/>
      <c r="AG336" s="163"/>
      <c r="AH336" s="155"/>
      <c r="AI336" s="157"/>
    </row>
    <row r="337" spans="1:42" ht="15" customHeight="1">
      <c r="C337" s="519">
        <v>301</v>
      </c>
      <c r="E337" s="260" t="s">
        <v>612</v>
      </c>
      <c r="F337" s="222"/>
      <c r="G337" s="261">
        <v>14</v>
      </c>
      <c r="H337" s="260"/>
      <c r="I337" s="484">
        <f>+'Linkin (2)'!K130*B336</f>
        <v>126790.7536</v>
      </c>
      <c r="K337" s="162">
        <f>ROUND(VLOOKUP($G337,factors,+K$376)*$I337,0)</f>
        <v>39495</v>
      </c>
      <c r="L337" s="150"/>
      <c r="M337" s="162">
        <f>ROUND(VLOOKUP($G337,factors,+M$376)*$I337,0)</f>
        <v>20908</v>
      </c>
      <c r="N337" s="162"/>
      <c r="O337" s="162">
        <f>ROUND(VLOOKUP($G337,factors,+O$376)*$I337,0)</f>
        <v>5452</v>
      </c>
      <c r="P337" s="162"/>
      <c r="Q337" s="162">
        <f>ROUND(VLOOKUP($G337,factors,+Q$376)*$I337,0)</f>
        <v>5363</v>
      </c>
      <c r="R337" s="162"/>
      <c r="S337" s="162">
        <f>ROUND(VLOOKUP($G337,factors,+S$376)*$I337,0)</f>
        <v>4653</v>
      </c>
      <c r="T337" s="162"/>
      <c r="U337" s="284">
        <f>ROUND(VLOOKUP($G337,factors,+U$376)*$I337,0)</f>
        <v>2308</v>
      </c>
      <c r="V337" s="162"/>
      <c r="W337" s="162">
        <f>ROUND(VLOOKUP($G337,factors,+W$376)*$I337,0)</f>
        <v>38975</v>
      </c>
      <c r="X337" s="162"/>
      <c r="Y337" s="162">
        <f>ROUND(VLOOKUP($G337,factors,+Y$376)*$I337,0)</f>
        <v>7937</v>
      </c>
      <c r="Z337" s="162"/>
      <c r="AA337" s="162">
        <f>ROUND(VLOOKUP($G337,factors,+AA$376)*$I337,0)</f>
        <v>773</v>
      </c>
      <c r="AB337" s="162"/>
      <c r="AC337" s="162">
        <f>ROUND(VLOOKUP($G337,factors,+AC$376)*$I337,0)</f>
        <v>558</v>
      </c>
      <c r="AD337" s="162"/>
      <c r="AE337" s="162">
        <f>ROUND(VLOOKUP($G337,factors,+AE$376)*$I337,0)</f>
        <v>89</v>
      </c>
      <c r="AF337" s="162"/>
      <c r="AG337" s="162">
        <f>ROUND(VLOOKUP($G337,factors,+AG$376)*$I337,0)</f>
        <v>279</v>
      </c>
      <c r="AH337" s="150"/>
      <c r="AI337" s="157">
        <f t="shared" ref="AI337:AI338" si="279">SUM(K337:AG337)-I337</f>
        <v>-0.75359999999636784</v>
      </c>
    </row>
    <row r="338" spans="1:42" ht="15" customHeight="1">
      <c r="C338" s="519">
        <v>389.1</v>
      </c>
      <c r="E338" s="260" t="s">
        <v>535</v>
      </c>
      <c r="F338" s="222"/>
      <c r="G338" s="261">
        <v>12</v>
      </c>
      <c r="H338" s="260"/>
      <c r="I338" s="484">
        <f>+'Linkin (2)'!K131*B336</f>
        <v>6338541.3392000003</v>
      </c>
      <c r="K338" s="162">
        <f>ROUND(VLOOKUP($G338,factors,+K$376)*$I338,0)</f>
        <v>1871771</v>
      </c>
      <c r="L338" s="150"/>
      <c r="M338" s="162">
        <f>ROUND(VLOOKUP($G338,factors,+M$376)*$I338,0)</f>
        <v>626248</v>
      </c>
      <c r="N338" s="162"/>
      <c r="O338" s="162">
        <f>ROUND(VLOOKUP($G338,factors,+O$376)*$I338,0)</f>
        <v>146420</v>
      </c>
      <c r="P338" s="162"/>
      <c r="Q338" s="162">
        <f>ROUND(VLOOKUP($G338,factors,+Q$376)*$I338,0)</f>
        <v>145153</v>
      </c>
      <c r="R338" s="162"/>
      <c r="S338" s="162">
        <f>ROUND(VLOOKUP($G338,factors,+S$376)*$I338,0)</f>
        <v>250372</v>
      </c>
      <c r="T338" s="162"/>
      <c r="U338" s="284">
        <f>ROUND(VLOOKUP($G338,factors,+U$376)*$I338,0)</f>
        <v>88740</v>
      </c>
      <c r="V338" s="162"/>
      <c r="W338" s="162">
        <f>ROUND(VLOOKUP($G338,factors,+W$376)*$I338,0)</f>
        <v>2555700</v>
      </c>
      <c r="X338" s="162"/>
      <c r="Y338" s="162">
        <f>ROUND(VLOOKUP($G338,factors,+Y$376)*$I338,0)</f>
        <v>485532</v>
      </c>
      <c r="Z338" s="162"/>
      <c r="AA338" s="162">
        <f>ROUND(VLOOKUP($G338,factors,+AA$376)*$I338,0)</f>
        <v>77330</v>
      </c>
      <c r="AB338" s="162"/>
      <c r="AC338" s="162">
        <f>ROUND(VLOOKUP($G338,factors,+AC$376)*$I338,0)</f>
        <v>51976</v>
      </c>
      <c r="AD338" s="162"/>
      <c r="AE338" s="162">
        <f>ROUND(VLOOKUP($G338,factors,+AE$376)*$I338,0)</f>
        <v>10776</v>
      </c>
      <c r="AF338" s="162"/>
      <c r="AG338" s="162">
        <f>ROUND(VLOOKUP($G338,factors,+AG$376)*$I338,0)</f>
        <v>28523</v>
      </c>
      <c r="AH338" s="150"/>
      <c r="AI338" s="157">
        <f t="shared" si="279"/>
        <v>-0.33920000027865171</v>
      </c>
    </row>
    <row r="339" spans="1:42" ht="15" customHeight="1">
      <c r="C339" s="426">
        <v>390.2</v>
      </c>
      <c r="E339" s="483" t="s">
        <v>531</v>
      </c>
      <c r="F339" s="222"/>
      <c r="G339" s="392">
        <v>12</v>
      </c>
      <c r="H339" s="222"/>
      <c r="I339" s="484">
        <f>(+'Linkin (2)'!O132+'Linkin (2)'!O133)*B336</f>
        <v>26990578.479199998</v>
      </c>
      <c r="K339" s="162">
        <f>ROUND(VLOOKUP($G339,factors,+K$376)*$I339,0)</f>
        <v>7970318</v>
      </c>
      <c r="L339" s="150"/>
      <c r="M339" s="162">
        <f>ROUND(VLOOKUP($G339,factors,+M$376)*$I339,0)</f>
        <v>2666669</v>
      </c>
      <c r="N339" s="162"/>
      <c r="O339" s="162">
        <f>ROUND(VLOOKUP($G339,factors,+O$376)*$I339,0)</f>
        <v>623482</v>
      </c>
      <c r="P339" s="162"/>
      <c r="Q339" s="162">
        <f>ROUND(VLOOKUP($G339,factors,+Q$376)*$I339,0)</f>
        <v>618084</v>
      </c>
      <c r="R339" s="162"/>
      <c r="S339" s="162">
        <f>ROUND(VLOOKUP($G339,factors,+S$376)*$I339,0)</f>
        <v>1066128</v>
      </c>
      <c r="T339" s="162"/>
      <c r="U339" s="284">
        <f>ROUND(VLOOKUP($G339,factors,+U$376)*$I339,0)</f>
        <v>377868</v>
      </c>
      <c r="V339" s="162"/>
      <c r="W339" s="162">
        <f>ROUND(VLOOKUP($G339,factors,+W$376)*$I339,0)</f>
        <v>10882601</v>
      </c>
      <c r="X339" s="162"/>
      <c r="Y339" s="162">
        <f>ROUND(VLOOKUP($G339,factors,+Y$376)*$I339,0)</f>
        <v>2067478</v>
      </c>
      <c r="Z339" s="162"/>
      <c r="AA339" s="162">
        <f>ROUND(VLOOKUP($G339,factors,+AA$376)*$I339,0)</f>
        <v>329285</v>
      </c>
      <c r="AB339" s="162"/>
      <c r="AC339" s="162">
        <f>ROUND(VLOOKUP($G339,factors,+AC$376)*$I339,0)</f>
        <v>221323</v>
      </c>
      <c r="AD339" s="162"/>
      <c r="AE339" s="162">
        <f>ROUND(VLOOKUP($G339,factors,+AE$376)*$I339,0)</f>
        <v>45884</v>
      </c>
      <c r="AF339" s="162"/>
      <c r="AG339" s="162">
        <f>ROUND(VLOOKUP($G339,factors,+AG$376)*$I339,0)</f>
        <v>121458</v>
      </c>
      <c r="AH339" s="150"/>
      <c r="AI339" s="157">
        <f>SUM(K339:AG339)-I339</f>
        <v>-0.47919999808073044</v>
      </c>
    </row>
    <row r="340" spans="1:42" ht="15" customHeight="1">
      <c r="C340" s="425">
        <v>391</v>
      </c>
      <c r="E340" s="225" t="s">
        <v>529</v>
      </c>
      <c r="F340" s="222"/>
      <c r="G340" s="392">
        <v>12</v>
      </c>
      <c r="H340" s="222"/>
      <c r="I340" s="484">
        <f>(+'Linkin (2)'!O134+'Linkin (2)'!O135)*B336</f>
        <v>3077618.2648</v>
      </c>
      <c r="K340" s="162">
        <f>ROUND(VLOOKUP($G340,factors,+K$376)*$I340,0)</f>
        <v>908821</v>
      </c>
      <c r="L340" s="150"/>
      <c r="M340" s="162">
        <f>ROUND(VLOOKUP($G340,factors,+M$376)*$I340,0)</f>
        <v>304069</v>
      </c>
      <c r="N340" s="162"/>
      <c r="O340" s="162">
        <f>ROUND(VLOOKUP($G340,factors,+O$376)*$I340,0)</f>
        <v>71093</v>
      </c>
      <c r="P340" s="162"/>
      <c r="Q340" s="162">
        <f>ROUND(VLOOKUP($G340,factors,+Q$376)*$I340,0)</f>
        <v>70477</v>
      </c>
      <c r="R340" s="162"/>
      <c r="S340" s="162">
        <f>ROUND(VLOOKUP($G340,factors,+S$376)*$I340,0)</f>
        <v>121566</v>
      </c>
      <c r="T340" s="162"/>
      <c r="U340" s="284">
        <f>ROUND(VLOOKUP($G340,factors,+U$376)*$I340,0)</f>
        <v>43087</v>
      </c>
      <c r="V340" s="162"/>
      <c r="W340" s="162">
        <f>ROUND(VLOOKUP($G340,factors,+W$376)*$I340,0)</f>
        <v>1240896</v>
      </c>
      <c r="X340" s="162"/>
      <c r="Y340" s="162">
        <f>ROUND(VLOOKUP($G340,factors,+Y$376)*$I340,0)</f>
        <v>235746</v>
      </c>
      <c r="Z340" s="162"/>
      <c r="AA340" s="162">
        <f>ROUND(VLOOKUP($G340,factors,+AA$376)*$I340,0)</f>
        <v>37547</v>
      </c>
      <c r="AB340" s="162"/>
      <c r="AC340" s="162">
        <f>ROUND(VLOOKUP($G340,factors,+AC$376)*$I340,0)</f>
        <v>25236</v>
      </c>
      <c r="AD340" s="162"/>
      <c r="AE340" s="162">
        <f>ROUND(VLOOKUP($G340,factors,+AE$376)*$I340,0)</f>
        <v>5232</v>
      </c>
      <c r="AF340" s="162"/>
      <c r="AG340" s="162">
        <f>ROUND(VLOOKUP($G340,factors,+AG$376)*$I340,0)</f>
        <v>13849</v>
      </c>
      <c r="AH340" s="150"/>
      <c r="AI340" s="157">
        <f>SUM(K340:AG340)-I340</f>
        <v>0.73519999999552965</v>
      </c>
    </row>
    <row r="341" spans="1:42" ht="15" customHeight="1">
      <c r="C341" s="425">
        <v>392.1</v>
      </c>
      <c r="E341" s="225" t="s">
        <v>530</v>
      </c>
      <c r="F341" s="222"/>
      <c r="G341" s="392">
        <v>12</v>
      </c>
      <c r="H341" s="222"/>
      <c r="I341" s="485">
        <f>+'Linkin (2)'!O136*B336</f>
        <v>1592.1379999999999</v>
      </c>
      <c r="K341" s="161">
        <f>ROUND(VLOOKUP($G341,factors,+K$376)*$I341,0)</f>
        <v>470</v>
      </c>
      <c r="L341" s="150"/>
      <c r="M341" s="161">
        <f>ROUND(VLOOKUP($G341,factors,+M$376)*$I341,0)</f>
        <v>157</v>
      </c>
      <c r="N341" s="162"/>
      <c r="O341" s="161">
        <f>ROUND(VLOOKUP($G341,factors,+O$376)*$I341,0)</f>
        <v>37</v>
      </c>
      <c r="P341" s="162"/>
      <c r="Q341" s="161">
        <f>ROUND(VLOOKUP($G341,factors,+Q$376)*$I341,0)</f>
        <v>36</v>
      </c>
      <c r="R341" s="162"/>
      <c r="S341" s="161">
        <f>ROUND(VLOOKUP($G341,factors,+S$376)*$I341,0)</f>
        <v>63</v>
      </c>
      <c r="T341" s="162"/>
      <c r="U341" s="309">
        <f>ROUND(VLOOKUP($G341,factors,+U$376)*$I341,0)</f>
        <v>22</v>
      </c>
      <c r="V341" s="162"/>
      <c r="W341" s="161">
        <f>ROUND(VLOOKUP($G341,factors,+W$376)*$I341,0)</f>
        <v>642</v>
      </c>
      <c r="X341" s="162"/>
      <c r="Y341" s="161">
        <f>ROUND(VLOOKUP($G341,factors,+Y$376)*$I341,0)</f>
        <v>122</v>
      </c>
      <c r="Z341" s="162"/>
      <c r="AA341" s="161">
        <f>ROUND(VLOOKUP($G341,factors,+AA$376)*$I341,0)</f>
        <v>19</v>
      </c>
      <c r="AB341" s="162"/>
      <c r="AC341" s="161">
        <f>ROUND(VLOOKUP($G341,factors,+AC$376)*$I341,0)</f>
        <v>13</v>
      </c>
      <c r="AD341" s="162"/>
      <c r="AE341" s="161">
        <f>ROUND(VLOOKUP($G341,factors,+AE$376)*$I341,0)</f>
        <v>3</v>
      </c>
      <c r="AF341" s="162"/>
      <c r="AG341" s="161">
        <f>ROUND(VLOOKUP($G341,factors,+AG$376)*$I341,0)</f>
        <v>7</v>
      </c>
      <c r="AH341" s="150"/>
      <c r="AI341" s="157">
        <f>SUM(K341:AG341)-I341</f>
        <v>-1.13799999999992</v>
      </c>
    </row>
    <row r="342" spans="1:42" ht="15" customHeight="1">
      <c r="D342" s="1"/>
      <c r="E342" s="486" t="s">
        <v>528</v>
      </c>
      <c r="F342" s="222"/>
      <c r="G342" s="477"/>
      <c r="H342" s="222"/>
      <c r="I342" s="397">
        <f>SUM(I337:I341)</f>
        <v>36535120.974799991</v>
      </c>
      <c r="J342" s="397">
        <f t="shared" ref="J342:AH342" si="280">SUM(J337:J341)</f>
        <v>0</v>
      </c>
      <c r="K342" s="397">
        <f t="shared" si="280"/>
        <v>10790875</v>
      </c>
      <c r="L342" s="397">
        <f t="shared" si="280"/>
        <v>0</v>
      </c>
      <c r="M342" s="397">
        <f t="shared" si="280"/>
        <v>3618051</v>
      </c>
      <c r="N342" s="397">
        <f t="shared" si="280"/>
        <v>0</v>
      </c>
      <c r="O342" s="397">
        <f t="shared" si="280"/>
        <v>846484</v>
      </c>
      <c r="P342" s="397">
        <f t="shared" si="280"/>
        <v>0</v>
      </c>
      <c r="Q342" s="397">
        <f t="shared" si="280"/>
        <v>839113</v>
      </c>
      <c r="R342" s="397">
        <f t="shared" si="280"/>
        <v>0</v>
      </c>
      <c r="S342" s="397">
        <f t="shared" si="280"/>
        <v>1442782</v>
      </c>
      <c r="T342" s="397">
        <f t="shared" si="280"/>
        <v>0</v>
      </c>
      <c r="U342" s="397">
        <f t="shared" si="280"/>
        <v>512025</v>
      </c>
      <c r="V342" s="397">
        <f t="shared" si="280"/>
        <v>0</v>
      </c>
      <c r="W342" s="397">
        <f t="shared" si="280"/>
        <v>14718814</v>
      </c>
      <c r="X342" s="397">
        <f t="shared" si="280"/>
        <v>0</v>
      </c>
      <c r="Y342" s="397">
        <f t="shared" si="280"/>
        <v>2796815</v>
      </c>
      <c r="Z342" s="397">
        <f t="shared" si="280"/>
        <v>0</v>
      </c>
      <c r="AA342" s="397">
        <f t="shared" si="280"/>
        <v>444954</v>
      </c>
      <c r="AB342" s="397">
        <f t="shared" si="280"/>
        <v>0</v>
      </c>
      <c r="AC342" s="397">
        <f t="shared" si="280"/>
        <v>299106</v>
      </c>
      <c r="AD342" s="397">
        <f t="shared" si="280"/>
        <v>0</v>
      </c>
      <c r="AE342" s="397">
        <f t="shared" si="280"/>
        <v>61984</v>
      </c>
      <c r="AF342" s="397">
        <f t="shared" si="280"/>
        <v>0</v>
      </c>
      <c r="AG342" s="397">
        <f t="shared" si="280"/>
        <v>164116</v>
      </c>
      <c r="AH342" s="397">
        <f t="shared" si="280"/>
        <v>0</v>
      </c>
      <c r="AI342" s="157">
        <f>SUM(K342:AG342)-I342</f>
        <v>-1.9747999906539917</v>
      </c>
    </row>
    <row r="343" spans="1:42" ht="9" customHeight="1">
      <c r="E343" s="476"/>
      <c r="F343" s="222"/>
      <c r="G343" s="477"/>
      <c r="H343" s="222"/>
      <c r="I343" s="397"/>
      <c r="K343" s="163"/>
      <c r="M343" s="163"/>
      <c r="O343" s="163"/>
      <c r="Q343" s="163"/>
      <c r="S343" s="163"/>
      <c r="T343" s="163"/>
      <c r="U343" s="284"/>
      <c r="W343" s="163"/>
      <c r="Y343" s="163"/>
      <c r="AA343" s="163"/>
      <c r="AC343" s="163"/>
      <c r="AE343" s="163"/>
      <c r="AG343" s="163"/>
      <c r="AH343" s="155"/>
      <c r="AI343" s="157"/>
    </row>
    <row r="344" spans="1:42" ht="15" customHeight="1">
      <c r="C344" s="27" t="s">
        <v>775</v>
      </c>
      <c r="E344" s="476"/>
      <c r="F344" s="222"/>
      <c r="G344" s="477"/>
      <c r="H344" s="222"/>
      <c r="I344" s="397"/>
      <c r="K344" s="163"/>
      <c r="M344" s="163"/>
      <c r="O344" s="163"/>
      <c r="Q344" s="163"/>
      <c r="S344" s="163"/>
      <c r="T344" s="163"/>
      <c r="U344" s="284"/>
      <c r="W344" s="163"/>
      <c r="Y344" s="163"/>
      <c r="AA344" s="163"/>
      <c r="AC344" s="163"/>
      <c r="AE344" s="163"/>
      <c r="AG344" s="163"/>
      <c r="AH344" s="155"/>
      <c r="AI344" s="157"/>
    </row>
    <row r="345" spans="1:42" ht="15" customHeight="1">
      <c r="B345" s="149">
        <v>0.91720000000000002</v>
      </c>
      <c r="C345" s="159">
        <v>391</v>
      </c>
      <c r="E345" s="225" t="s">
        <v>529</v>
      </c>
      <c r="F345" s="222"/>
      <c r="G345" s="392">
        <v>12</v>
      </c>
      <c r="H345" s="222"/>
      <c r="I345" s="484">
        <f>(+'Linkin (2)'!O142+'Linkin (2)'!O143)*B345</f>
        <v>2610256.7283999999</v>
      </c>
      <c r="J345" s="150"/>
      <c r="K345" s="162">
        <f>ROUND(VLOOKUP($G345,factors,+K$376)*$I345,0)</f>
        <v>770809</v>
      </c>
      <c r="L345" s="150"/>
      <c r="M345" s="162">
        <f>ROUND(VLOOKUP($G345,factors,+M$376)*$I345,0)</f>
        <v>257893</v>
      </c>
      <c r="N345" s="162"/>
      <c r="O345" s="162">
        <f>ROUND(VLOOKUP($G345,factors,+O$376)*$I345,0)</f>
        <v>60297</v>
      </c>
      <c r="P345" s="162"/>
      <c r="Q345" s="162">
        <f>ROUND(VLOOKUP($G345,factors,+Q$376)*$I345,0)</f>
        <v>59775</v>
      </c>
      <c r="R345" s="162"/>
      <c r="S345" s="162">
        <f>ROUND(VLOOKUP($G345,factors,+S$376)*$I345,0)</f>
        <v>103105</v>
      </c>
      <c r="T345" s="162"/>
      <c r="U345" s="284">
        <f>ROUND(VLOOKUP($G345,factors,+U$376)*$I345,0)</f>
        <v>36544</v>
      </c>
      <c r="V345" s="162"/>
      <c r="W345" s="162">
        <f>ROUND(VLOOKUP($G345,factors,+W$376)*$I345,0)</f>
        <v>1052456</v>
      </c>
      <c r="X345" s="162"/>
      <c r="Y345" s="162">
        <f>ROUND(VLOOKUP($G345,factors,+Y$376)*$I345,0)</f>
        <v>199946</v>
      </c>
      <c r="Z345" s="162"/>
      <c r="AA345" s="162">
        <f>ROUND(VLOOKUP($G345,factors,+AA$376)*$I345,0)</f>
        <v>31845</v>
      </c>
      <c r="AB345" s="162"/>
      <c r="AC345" s="162">
        <f>ROUND(VLOOKUP($G345,factors,+AC$376)*$I345,0)</f>
        <v>21404</v>
      </c>
      <c r="AD345" s="162"/>
      <c r="AE345" s="162">
        <f>ROUND(VLOOKUP($G345,factors,+AE$376)*$I345,0)</f>
        <v>4437</v>
      </c>
      <c r="AF345" s="162"/>
      <c r="AG345" s="162">
        <f>ROUND(VLOOKUP($G345,factors,+AG$376)*$I345,0)</f>
        <v>11746</v>
      </c>
      <c r="AH345" s="150"/>
      <c r="AI345" s="735">
        <f>SUM(K345:AG345)-I345</f>
        <v>0.27160000009462237</v>
      </c>
      <c r="AJ345" s="150"/>
      <c r="AK345" s="150"/>
      <c r="AL345" s="29"/>
      <c r="AM345" s="29"/>
      <c r="AN345" s="29"/>
      <c r="AO345" s="29"/>
      <c r="AP345" s="29"/>
    </row>
    <row r="346" spans="1:42" ht="15" customHeight="1">
      <c r="C346" s="159">
        <v>391.1</v>
      </c>
      <c r="E346" s="225" t="s">
        <v>781</v>
      </c>
      <c r="F346" s="222"/>
      <c r="G346" s="392">
        <v>7</v>
      </c>
      <c r="H346" s="222"/>
      <c r="I346" s="484">
        <f>+'Linkin (2)'!O172*B345</f>
        <v>54721176.580578543</v>
      </c>
      <c r="J346" s="150"/>
      <c r="K346" s="162">
        <f>ROUND(VLOOKUP($G346,factors,+K$376)*$I346,0)</f>
        <v>0</v>
      </c>
      <c r="L346" s="150"/>
      <c r="M346" s="162">
        <f>ROUND(VLOOKUP($G346,factors,+M$376)*$I346,0)</f>
        <v>0</v>
      </c>
      <c r="N346" s="162"/>
      <c r="O346" s="162">
        <f>ROUND(VLOOKUP($G346,factors,+O$376)*$I346,0)</f>
        <v>0</v>
      </c>
      <c r="P346" s="162"/>
      <c r="Q346" s="162">
        <f>ROUND(VLOOKUP($G346,factors,+Q$376)*$I346,0)</f>
        <v>0</v>
      </c>
      <c r="R346" s="162"/>
      <c r="S346" s="162">
        <f>ROUND(VLOOKUP($G346,factors,+S$376)*$I346,0)</f>
        <v>0</v>
      </c>
      <c r="T346" s="162"/>
      <c r="U346" s="284">
        <f>ROUND(VLOOKUP($G346,factors,+U$376)*$I346,0)</f>
        <v>0</v>
      </c>
      <c r="V346" s="162"/>
      <c r="W346" s="162">
        <f>ROUND(VLOOKUP($G346,factors,+W$376)*$I346,0)</f>
        <v>48893371</v>
      </c>
      <c r="X346" s="162"/>
      <c r="Y346" s="162">
        <f>ROUND(VLOOKUP($G346,factors,+Y$376)*$I346,0)</f>
        <v>5625337</v>
      </c>
      <c r="Z346" s="162"/>
      <c r="AA346" s="162">
        <f>ROUND(VLOOKUP($G346,factors,+AA$376)*$I346,0)</f>
        <v>125859</v>
      </c>
      <c r="AB346" s="162"/>
      <c r="AC346" s="162">
        <f>ROUND(VLOOKUP($G346,factors,+AC$376)*$I346,0)</f>
        <v>38305</v>
      </c>
      <c r="AD346" s="162"/>
      <c r="AE346" s="162">
        <f>ROUND(VLOOKUP($G346,factors,+AE$376)*$I346,0)</f>
        <v>5472</v>
      </c>
      <c r="AF346" s="162"/>
      <c r="AG346" s="162">
        <f>ROUND(VLOOKUP($G346,factors,+AG$376)*$I346,0)</f>
        <v>32833</v>
      </c>
      <c r="AH346" s="150"/>
      <c r="AI346" s="735">
        <f>SUM(K346:AG346)-I346</f>
        <v>0.41942145675420761</v>
      </c>
      <c r="AJ346" s="150"/>
      <c r="AK346" s="150"/>
      <c r="AL346" s="29"/>
      <c r="AM346" s="29"/>
      <c r="AN346" s="29"/>
      <c r="AO346" s="29"/>
      <c r="AP346" s="29"/>
    </row>
    <row r="347" spans="1:42" ht="15" customHeight="1">
      <c r="C347" s="159">
        <v>391.2</v>
      </c>
      <c r="E347" s="225" t="s">
        <v>773</v>
      </c>
      <c r="F347" s="222"/>
      <c r="G347" s="392">
        <v>12</v>
      </c>
      <c r="H347" s="222"/>
      <c r="I347" s="795">
        <f>+('Linkin (2)'!O144+'Linkin (2)'!O145+'Linkin (2)'!O146)*B345-I346</f>
        <v>84023402.348621458</v>
      </c>
      <c r="K347" s="162">
        <f>ROUND(VLOOKUP($G347,factors,+K$376)*$I347,0)</f>
        <v>24812111</v>
      </c>
      <c r="L347" s="150"/>
      <c r="M347" s="162">
        <f>ROUND(VLOOKUP($G347,factors,+M$376)*$I347,0)</f>
        <v>8301512</v>
      </c>
      <c r="N347" s="162"/>
      <c r="O347" s="162">
        <f>ROUND(VLOOKUP($G347,factors,+O$376)*$I347,0)</f>
        <v>1940941</v>
      </c>
      <c r="P347" s="162"/>
      <c r="Q347" s="162">
        <f>ROUND(VLOOKUP($G347,factors,+Q$376)*$I347,0)</f>
        <v>1924136</v>
      </c>
      <c r="R347" s="162"/>
      <c r="S347" s="162">
        <f>ROUND(VLOOKUP($G347,factors,+S$376)*$I347,0)</f>
        <v>3318924</v>
      </c>
      <c r="T347" s="162"/>
      <c r="U347" s="284">
        <f>ROUND(VLOOKUP($G347,factors,+U$376)*$I347,0)</f>
        <v>1176328</v>
      </c>
      <c r="V347" s="162"/>
      <c r="W347" s="162">
        <f>ROUND(VLOOKUP($G347,factors,+W$376)*$I347,0)</f>
        <v>33878236</v>
      </c>
      <c r="X347" s="162"/>
      <c r="Y347" s="162">
        <f>ROUND(VLOOKUP($G347,factors,+Y$376)*$I347,0)</f>
        <v>6436193</v>
      </c>
      <c r="Z347" s="162"/>
      <c r="AA347" s="162">
        <f>ROUND(VLOOKUP($G347,factors,+AA$376)*$I347,0)</f>
        <v>1025086</v>
      </c>
      <c r="AB347" s="162"/>
      <c r="AC347" s="162">
        <f>ROUND(VLOOKUP($G347,factors,+AC$376)*$I347,0)</f>
        <v>688992</v>
      </c>
      <c r="AD347" s="162"/>
      <c r="AE347" s="162">
        <f>ROUND(VLOOKUP($G347,factors,+AE$376)*$I347,0)</f>
        <v>142840</v>
      </c>
      <c r="AF347" s="162"/>
      <c r="AG347" s="162">
        <f>ROUND(VLOOKUP($G347,factors,+AG$376)*$I347,0)</f>
        <v>378105</v>
      </c>
      <c r="AH347" s="150"/>
      <c r="AI347" s="157"/>
    </row>
    <row r="348" spans="1:42" ht="15" customHeight="1">
      <c r="A348" s="899">
        <f>'Linkin (2)'!O149-I348</f>
        <v>0.34240001440048218</v>
      </c>
      <c r="E348" s="476" t="s">
        <v>533</v>
      </c>
      <c r="F348" s="222"/>
      <c r="G348" s="261"/>
      <c r="H348" s="222"/>
      <c r="I348" s="474">
        <f>SUM(I345:I347)</f>
        <v>141354835.65759999</v>
      </c>
      <c r="J348" s="222"/>
      <c r="K348" s="474">
        <f t="shared" ref="K348" si="281">SUM(K345:K347)</f>
        <v>25582920</v>
      </c>
      <c r="L348" s="222"/>
      <c r="M348" s="474">
        <f t="shared" ref="M348" si="282">SUM(M345:M347)</f>
        <v>8559405</v>
      </c>
      <c r="N348" s="222"/>
      <c r="O348" s="474">
        <f t="shared" ref="O348" si="283">SUM(O345:O347)</f>
        <v>2001238</v>
      </c>
      <c r="P348" s="222"/>
      <c r="Q348" s="474">
        <f t="shared" ref="Q348" si="284">SUM(Q345:Q347)</f>
        <v>1983911</v>
      </c>
      <c r="R348" s="222"/>
      <c r="S348" s="474">
        <f t="shared" ref="S348" si="285">SUM(S345:S347)</f>
        <v>3422029</v>
      </c>
      <c r="T348" s="222"/>
      <c r="U348" s="474">
        <f t="shared" ref="U348" si="286">SUM(U345:U347)</f>
        <v>1212872</v>
      </c>
      <c r="V348" s="222"/>
      <c r="W348" s="474">
        <f t="shared" ref="W348" si="287">SUM(W345:W347)</f>
        <v>83824063</v>
      </c>
      <c r="X348" s="222"/>
      <c r="Y348" s="474">
        <f t="shared" ref="Y348" si="288">SUM(Y345:Y347)</f>
        <v>12261476</v>
      </c>
      <c r="Z348" s="222"/>
      <c r="AA348" s="474">
        <f t="shared" ref="AA348" si="289">SUM(AA345:AA347)</f>
        <v>1182790</v>
      </c>
      <c r="AB348" s="222"/>
      <c r="AC348" s="474">
        <f t="shared" ref="AC348" si="290">SUM(AC345:AC347)</f>
        <v>748701</v>
      </c>
      <c r="AD348" s="222"/>
      <c r="AE348" s="474">
        <f t="shared" ref="AE348" si="291">SUM(AE345:AE347)</f>
        <v>152749</v>
      </c>
      <c r="AF348" s="222"/>
      <c r="AG348" s="474">
        <f t="shared" ref="AG348" si="292">SUM(AG345:AG347)</f>
        <v>422684</v>
      </c>
      <c r="AH348" s="155"/>
      <c r="AI348" s="157">
        <f>SUM(K348:AG348)-I348</f>
        <v>2.3424000144004822</v>
      </c>
    </row>
    <row r="349" spans="1:42" ht="9" customHeight="1">
      <c r="E349" s="476"/>
      <c r="F349" s="222"/>
      <c r="G349" s="261"/>
      <c r="H349" s="222"/>
      <c r="I349" s="397"/>
      <c r="K349" s="163"/>
      <c r="M349" s="163"/>
      <c r="O349" s="163"/>
      <c r="Q349" s="163"/>
      <c r="S349" s="163"/>
      <c r="T349" s="163"/>
      <c r="U349" s="284"/>
      <c r="W349" s="163"/>
      <c r="Y349" s="163"/>
      <c r="AA349" s="163"/>
      <c r="AC349" s="163"/>
      <c r="AE349" s="163"/>
      <c r="AG349" s="163"/>
      <c r="AH349" s="155"/>
      <c r="AI349" s="157"/>
    </row>
    <row r="350" spans="1:42" ht="7.15" customHeight="1">
      <c r="C350" s="426"/>
      <c r="E350" s="260"/>
      <c r="F350" s="222"/>
      <c r="G350" s="261"/>
      <c r="H350" s="222"/>
      <c r="I350" s="397"/>
      <c r="K350" s="162"/>
      <c r="L350" s="150"/>
      <c r="M350" s="162"/>
      <c r="N350" s="162"/>
      <c r="O350" s="162"/>
      <c r="P350" s="162"/>
      <c r="Q350" s="162"/>
      <c r="R350" s="162"/>
      <c r="S350" s="162"/>
      <c r="T350" s="162"/>
      <c r="U350" s="284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50"/>
      <c r="AI350" s="157"/>
    </row>
    <row r="351" spans="1:42" ht="15" customHeight="1">
      <c r="C351" s="27" t="s">
        <v>283</v>
      </c>
      <c r="E351" s="222"/>
      <c r="F351" s="222"/>
      <c r="G351" s="261"/>
      <c r="H351" s="222"/>
      <c r="I351" s="28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6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7">
        <f t="shared" ref="AI351:AI372" si="293">SUM(K351:AG351)-I351</f>
        <v>0</v>
      </c>
    </row>
    <row r="352" spans="1:42" ht="4.9000000000000004" customHeight="1">
      <c r="C352" s="149" t="s">
        <v>262</v>
      </c>
      <c r="E352" s="222"/>
      <c r="F352" s="222"/>
      <c r="G352" s="261"/>
      <c r="H352" s="222"/>
      <c r="I352" s="28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6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7">
        <f t="shared" si="293"/>
        <v>0</v>
      </c>
    </row>
    <row r="353" spans="1:35" ht="15" customHeight="1">
      <c r="C353" s="159">
        <v>301</v>
      </c>
      <c r="E353" s="260" t="s">
        <v>612</v>
      </c>
      <c r="F353" s="222"/>
      <c r="G353" s="261">
        <v>14</v>
      </c>
      <c r="H353" s="222"/>
      <c r="I353" s="263">
        <f>+'Linkin (2)'!K111</f>
        <v>166477</v>
      </c>
      <c r="J353" s="155"/>
      <c r="K353" s="156">
        <f>ROUND(VLOOKUP($G353,factors,+K$376)*$I353,0)</f>
        <v>51858</v>
      </c>
      <c r="M353" s="156">
        <f>ROUND(VLOOKUP($G353,factors,+M$376)*$I353,0)</f>
        <v>27452</v>
      </c>
      <c r="N353" s="156"/>
      <c r="O353" s="156">
        <f>ROUND(VLOOKUP($G353,factors,+O$376)*$I353,0)</f>
        <v>7159</v>
      </c>
      <c r="P353" s="156"/>
      <c r="Q353" s="156">
        <f>ROUND(VLOOKUP($G353,factors,+Q$376)*$I353,0)</f>
        <v>7042</v>
      </c>
      <c r="R353" s="156"/>
      <c r="S353" s="156">
        <f>ROUND(VLOOKUP($G353,factors,+S$376)*$I353,0)</f>
        <v>6110</v>
      </c>
      <c r="T353" s="156"/>
      <c r="U353" s="165">
        <f>ROUND(VLOOKUP($G353,factors,+U$376)*$I353,0)</f>
        <v>3030</v>
      </c>
      <c r="V353" s="156"/>
      <c r="W353" s="156">
        <f>ROUND(VLOOKUP($G353,factors,+W$376)*$I353,0)</f>
        <v>51175</v>
      </c>
      <c r="X353" s="156"/>
      <c r="Y353" s="156">
        <f>ROUND(VLOOKUP($G353,factors,+Y$376)*$I353,0)</f>
        <v>10421</v>
      </c>
      <c r="Z353" s="156"/>
      <c r="AA353" s="156">
        <f>ROUND(VLOOKUP($G353,factors,+AA$376)*$I353,0)</f>
        <v>1016</v>
      </c>
      <c r="AB353" s="156"/>
      <c r="AC353" s="156">
        <f>ROUND(VLOOKUP($G353,factors,+AC$376)*$I353,0)</f>
        <v>732</v>
      </c>
      <c r="AD353" s="156"/>
      <c r="AE353" s="156">
        <f>ROUND(VLOOKUP($G353,factors,+AE$376)*$I353,0)</f>
        <v>117</v>
      </c>
      <c r="AF353" s="156"/>
      <c r="AG353" s="156">
        <f>ROUND(VLOOKUP($G353,factors,+AG$376)*$I353,0)</f>
        <v>366</v>
      </c>
      <c r="AI353" s="157">
        <f t="shared" si="293"/>
        <v>1</v>
      </c>
    </row>
    <row r="354" spans="1:35" ht="15" customHeight="1">
      <c r="C354" s="159">
        <v>302</v>
      </c>
      <c r="E354" s="260" t="s">
        <v>534</v>
      </c>
      <c r="F354" s="222"/>
      <c r="G354" s="261">
        <v>14</v>
      </c>
      <c r="H354" s="222"/>
      <c r="I354" s="285">
        <f>+'Linkin (2)'!K112</f>
        <v>193597</v>
      </c>
      <c r="J354" s="155"/>
      <c r="K354" s="156">
        <f>ROUND(VLOOKUP($G354,factors,+K$376)*$I354,0)</f>
        <v>60305</v>
      </c>
      <c r="M354" s="156">
        <f>ROUND(VLOOKUP($G354,factors,+M$376)*$I354,0)</f>
        <v>31924</v>
      </c>
      <c r="N354" s="156"/>
      <c r="O354" s="156">
        <f>ROUND(VLOOKUP($G354,factors,+O$376)*$I354,0)</f>
        <v>8325</v>
      </c>
      <c r="P354" s="156"/>
      <c r="Q354" s="156">
        <f>ROUND(VLOOKUP($G354,factors,+Q$376)*$I354,0)</f>
        <v>8189</v>
      </c>
      <c r="R354" s="156"/>
      <c r="S354" s="156">
        <f>ROUND(VLOOKUP($G354,factors,+S$376)*$I354,0)</f>
        <v>7105</v>
      </c>
      <c r="T354" s="156"/>
      <c r="U354" s="165">
        <f>ROUND(VLOOKUP($G354,factors,+U$376)*$I354,0)</f>
        <v>3523</v>
      </c>
      <c r="V354" s="156"/>
      <c r="W354" s="156">
        <f>ROUND(VLOOKUP($G354,factors,+W$376)*$I354,0)</f>
        <v>59512</v>
      </c>
      <c r="X354" s="156"/>
      <c r="Y354" s="156">
        <f>ROUND(VLOOKUP($G354,factors,+Y$376)*$I354,0)</f>
        <v>12119</v>
      </c>
      <c r="Z354" s="156"/>
      <c r="AA354" s="156">
        <f>ROUND(VLOOKUP($G354,factors,+AA$376)*$I354,0)</f>
        <v>1181</v>
      </c>
      <c r="AB354" s="156"/>
      <c r="AC354" s="156">
        <f>ROUND(VLOOKUP($G354,factors,+AC$376)*$I354,0)</f>
        <v>852</v>
      </c>
      <c r="AD354" s="156"/>
      <c r="AE354" s="156">
        <f>ROUND(VLOOKUP($G354,factors,+AE$376)*$I354,0)</f>
        <v>136</v>
      </c>
      <c r="AF354" s="156"/>
      <c r="AG354" s="156">
        <f>ROUND(VLOOKUP($G354,factors,+AG$376)*$I354,0)</f>
        <v>426</v>
      </c>
      <c r="AI354" s="157">
        <f t="shared" si="293"/>
        <v>0</v>
      </c>
    </row>
    <row r="355" spans="1:35" ht="15" customHeight="1">
      <c r="C355" s="159">
        <v>303</v>
      </c>
      <c r="E355" s="260" t="s">
        <v>778</v>
      </c>
      <c r="F355" s="222"/>
      <c r="G355" s="261">
        <v>14</v>
      </c>
      <c r="H355" s="222"/>
      <c r="I355" s="285">
        <f>+'Linkin (2)'!K113</f>
        <v>289868</v>
      </c>
      <c r="J355" s="155"/>
      <c r="K355" s="156">
        <f>ROUND(VLOOKUP($G355,factors,+K$376)*$I355,0)</f>
        <v>90294</v>
      </c>
      <c r="M355" s="156">
        <f>ROUND(VLOOKUP($G355,factors,+M$376)*$I355,0)</f>
        <v>47799</v>
      </c>
      <c r="N355" s="156"/>
      <c r="O355" s="156">
        <f>ROUND(VLOOKUP($G355,factors,+O$376)*$I355,0)</f>
        <v>12464</v>
      </c>
      <c r="P355" s="156"/>
      <c r="Q355" s="156">
        <f>ROUND(VLOOKUP($G355,factors,+Q$376)*$I355,0)</f>
        <v>12261</v>
      </c>
      <c r="R355" s="156"/>
      <c r="S355" s="156">
        <f>ROUND(VLOOKUP($G355,factors,+S$376)*$I355,0)</f>
        <v>10638</v>
      </c>
      <c r="T355" s="156"/>
      <c r="U355" s="165">
        <f>ROUND(VLOOKUP($G355,factors,+U$376)*$I355,0)</f>
        <v>5276</v>
      </c>
      <c r="V355" s="156"/>
      <c r="W355" s="156">
        <f>ROUND(VLOOKUP($G355,factors,+W$376)*$I355,0)</f>
        <v>89105</v>
      </c>
      <c r="X355" s="156"/>
      <c r="Y355" s="156">
        <f>ROUND(VLOOKUP($G355,factors,+Y$376)*$I355,0)</f>
        <v>18146</v>
      </c>
      <c r="Z355" s="156"/>
      <c r="AA355" s="156">
        <f>ROUND(VLOOKUP($G355,factors,+AA$376)*$I355,0)</f>
        <v>1768</v>
      </c>
      <c r="AB355" s="156"/>
      <c r="AC355" s="156">
        <f>ROUND(VLOOKUP($G355,factors,+AC$376)*$I355,0)</f>
        <v>1275</v>
      </c>
      <c r="AD355" s="156"/>
      <c r="AE355" s="156">
        <f>ROUND(VLOOKUP($G355,factors,+AE$376)*$I355,0)</f>
        <v>203</v>
      </c>
      <c r="AF355" s="156"/>
      <c r="AG355" s="156">
        <f>ROUND(VLOOKUP($G355,factors,+AG$376)*$I355,0)</f>
        <v>638</v>
      </c>
      <c r="AI355" s="157">
        <f t="shared" ref="AI355" si="294">SUM(K355:AG355)-I355</f>
        <v>-1</v>
      </c>
    </row>
    <row r="356" spans="1:35" ht="15" customHeight="1">
      <c r="C356" s="159">
        <v>304</v>
      </c>
      <c r="E356" s="260" t="s">
        <v>535</v>
      </c>
      <c r="F356" s="222"/>
      <c r="G356" s="261">
        <v>14</v>
      </c>
      <c r="H356" s="222"/>
      <c r="I356" s="285">
        <f>+'Linkin (2)'!K114+'Linkin (2)'!K115</f>
        <v>381652</v>
      </c>
      <c r="J356" s="155"/>
      <c r="K356" s="156">
        <f>ROUND(VLOOKUP($G356,factors,+K$376)*$I356,0)</f>
        <v>118885</v>
      </c>
      <c r="M356" s="156">
        <f>ROUND(VLOOKUP($G356,factors,+M$376)*$I356,0)</f>
        <v>62934</v>
      </c>
      <c r="N356" s="156"/>
      <c r="O356" s="156">
        <f>ROUND(VLOOKUP($G356,factors,+O$376)*$I356,0)</f>
        <v>16411</v>
      </c>
      <c r="P356" s="156"/>
      <c r="Q356" s="156">
        <f>ROUND(VLOOKUP($G356,factors,+Q$376)*$I356,0)</f>
        <v>16144</v>
      </c>
      <c r="R356" s="156"/>
      <c r="S356" s="156">
        <f>ROUND(VLOOKUP($G356,factors,+S$376)*$I356,0)</f>
        <v>14007</v>
      </c>
      <c r="T356" s="156"/>
      <c r="U356" s="165">
        <f>ROUND(VLOOKUP($G356,factors,+U$376)*$I356,0)</f>
        <v>6946</v>
      </c>
      <c r="V356" s="156"/>
      <c r="W356" s="156">
        <f>ROUND(VLOOKUP($G356,factors,+W$376)*$I356,0)</f>
        <v>117320</v>
      </c>
      <c r="X356" s="156"/>
      <c r="Y356" s="156">
        <f>ROUND(VLOOKUP($G356,factors,+Y$376)*$I356,0)</f>
        <v>23891</v>
      </c>
      <c r="Z356" s="156"/>
      <c r="AA356" s="156">
        <f>ROUND(VLOOKUP($G356,factors,+AA$376)*$I356,0)</f>
        <v>2328</v>
      </c>
      <c r="AB356" s="156"/>
      <c r="AC356" s="156">
        <f>ROUND(VLOOKUP($G356,factors,+AC$376)*$I356,0)</f>
        <v>1679</v>
      </c>
      <c r="AD356" s="156"/>
      <c r="AE356" s="156">
        <f>ROUND(VLOOKUP($G356,factors,+AE$376)*$I356,0)</f>
        <v>267</v>
      </c>
      <c r="AF356" s="156"/>
      <c r="AG356" s="156">
        <f>ROUND(VLOOKUP($G356,factors,+AG$376)*$I356,0)</f>
        <v>840</v>
      </c>
      <c r="AI356" s="157">
        <f t="shared" si="293"/>
        <v>0</v>
      </c>
    </row>
    <row r="357" spans="1:35" ht="15" customHeight="1">
      <c r="C357" s="159">
        <v>305</v>
      </c>
      <c r="E357" s="260" t="s">
        <v>538</v>
      </c>
      <c r="F357" s="222"/>
      <c r="G357" s="261">
        <v>1</v>
      </c>
      <c r="H357" s="222"/>
      <c r="I357" s="393"/>
      <c r="J357" s="155"/>
      <c r="K357" s="161">
        <f>ROUND(VLOOKUP($G357,factors,+K$376)*$I357,0)</f>
        <v>0</v>
      </c>
      <c r="M357" s="161">
        <f>ROUND(VLOOKUP($G357,factors,+M$376)*$I357,0)</f>
        <v>0</v>
      </c>
      <c r="N357" s="156"/>
      <c r="O357" s="161">
        <f>ROUND(VLOOKUP($G357,factors,+O$376)*$I357,0)</f>
        <v>0</v>
      </c>
      <c r="P357" s="162"/>
      <c r="Q357" s="161">
        <f>ROUND(VLOOKUP($G357,factors,+Q$376)*$I357,0)</f>
        <v>0</v>
      </c>
      <c r="R357" s="156"/>
      <c r="S357" s="161">
        <f>ROUND(VLOOKUP($G357,factors,+S$376)*$I357,0)</f>
        <v>0</v>
      </c>
      <c r="T357" s="162"/>
      <c r="U357" s="309">
        <f>ROUND(VLOOKUP($G357,factors,+U$376)*$I357,0)</f>
        <v>0</v>
      </c>
      <c r="V357" s="156"/>
      <c r="W357" s="161">
        <f>ROUND(VLOOKUP($G357,factors,+W$376)*$I357,0)</f>
        <v>0</v>
      </c>
      <c r="X357" s="156"/>
      <c r="Y357" s="161">
        <f>ROUND(VLOOKUP($G357,factors,+Y$376)*$I357,0)</f>
        <v>0</v>
      </c>
      <c r="Z357" s="156"/>
      <c r="AA357" s="161">
        <f>ROUND(VLOOKUP($G357,factors,+AA$376)*$I357,0)</f>
        <v>0</v>
      </c>
      <c r="AB357" s="162"/>
      <c r="AC357" s="161">
        <f>ROUND(VLOOKUP($G357,factors,+AC$376)*$I357,0)</f>
        <v>0</v>
      </c>
      <c r="AD357" s="156"/>
      <c r="AE357" s="161">
        <f>ROUND(VLOOKUP($G357,factors,+AE$376)*$I357,0)</f>
        <v>0</v>
      </c>
      <c r="AF357" s="156"/>
      <c r="AG357" s="161">
        <f>ROUND(VLOOKUP($G357,factors,+AG$376)*$I357,0)</f>
        <v>0</v>
      </c>
      <c r="AI357" s="157">
        <f t="shared" si="293"/>
        <v>0</v>
      </c>
    </row>
    <row r="358" spans="1:35" ht="15" customHeight="1">
      <c r="E358" s="222" t="s">
        <v>263</v>
      </c>
      <c r="F358" s="222"/>
      <c r="G358" s="261"/>
      <c r="H358" s="222"/>
      <c r="I358" s="393">
        <f>SUM(I353:I357)</f>
        <v>1031594</v>
      </c>
      <c r="K358" s="160">
        <f>SUM(K353:K357)</f>
        <v>321342</v>
      </c>
      <c r="M358" s="160">
        <f>SUM(M353:M357)</f>
        <v>170109</v>
      </c>
      <c r="O358" s="160">
        <f>SUM(O353:O357)</f>
        <v>44359</v>
      </c>
      <c r="P358" s="163"/>
      <c r="Q358" s="160">
        <f>SUM(Q353:Q357)</f>
        <v>43636</v>
      </c>
      <c r="S358" s="160">
        <f>SUM(S353:S357)</f>
        <v>37860</v>
      </c>
      <c r="T358" s="163"/>
      <c r="U358" s="309">
        <f>SUM(U353:U357)</f>
        <v>18775</v>
      </c>
      <c r="W358" s="160">
        <f>SUM(W353:W357)</f>
        <v>317112</v>
      </c>
      <c r="Y358" s="160">
        <f>SUM(Y353:Y357)</f>
        <v>64577</v>
      </c>
      <c r="AA358" s="160">
        <f>SUM(AA353:AA357)</f>
        <v>6293</v>
      </c>
      <c r="AB358" s="163"/>
      <c r="AC358" s="160">
        <f>SUM(AC353:AC357)</f>
        <v>4538</v>
      </c>
      <c r="AE358" s="160">
        <f t="shared" ref="AE358" si="295">SUM(AE353:AE357)</f>
        <v>723</v>
      </c>
      <c r="AG358" s="160">
        <f t="shared" ref="AG358" si="296">SUM(AG353:AG357)</f>
        <v>2270</v>
      </c>
      <c r="AH358" s="160"/>
      <c r="AI358" s="157">
        <f t="shared" si="293"/>
        <v>0</v>
      </c>
    </row>
    <row r="359" spans="1:35" ht="15" customHeight="1">
      <c r="E359" s="222"/>
      <c r="F359" s="222"/>
      <c r="G359" s="261"/>
      <c r="H359" s="222"/>
      <c r="I359" s="285"/>
      <c r="U359" s="165"/>
      <c r="AI359" s="157">
        <f t="shared" si="293"/>
        <v>0</v>
      </c>
    </row>
    <row r="360" spans="1:35" ht="15" customHeight="1">
      <c r="B360" s="155"/>
      <c r="E360" s="222" t="s">
        <v>245</v>
      </c>
      <c r="F360" s="222"/>
      <c r="G360" s="261"/>
      <c r="H360" s="222"/>
      <c r="I360" s="393">
        <f>+I358+I348+I342+I334</f>
        <v>2878116326.6324</v>
      </c>
      <c r="J360" s="222"/>
      <c r="K360" s="393">
        <f t="shared" ref="K360" si="297">+K358+K348+K342+K334</f>
        <v>877265816</v>
      </c>
      <c r="L360" s="222"/>
      <c r="M360" s="393">
        <f t="shared" ref="M360" si="298">+M358+M348+M342+M334</f>
        <v>466715538</v>
      </c>
      <c r="N360" s="222"/>
      <c r="O360" s="393">
        <f t="shared" ref="O360" si="299">+O358+O348+O342+O334</f>
        <v>125472479</v>
      </c>
      <c r="P360" s="222"/>
      <c r="Q360" s="393">
        <f t="shared" ref="Q360" si="300">+Q358+Q348+Q342+Q334</f>
        <v>123441428</v>
      </c>
      <c r="R360" s="222"/>
      <c r="S360" s="393">
        <f t="shared" ref="S360" si="301">+S358+S348+S342+S334</f>
        <v>106199582</v>
      </c>
      <c r="T360" s="222"/>
      <c r="U360" s="393">
        <f t="shared" ref="U360" si="302">+U358+U348+U342+U334</f>
        <v>52976453</v>
      </c>
      <c r="V360" s="222"/>
      <c r="W360" s="393">
        <f t="shared" ref="W360" si="303">+W358+W348+W342+W334</f>
        <v>904691722</v>
      </c>
      <c r="X360" s="222"/>
      <c r="Y360" s="393">
        <f t="shared" ref="Y360" si="304">+Y358+Y348+Y342+Y334</f>
        <v>182916033</v>
      </c>
      <c r="Z360" s="222"/>
      <c r="AA360" s="393">
        <f t="shared" ref="AA360" si="305">+AA358+AA348+AA342+AA334</f>
        <v>17507860</v>
      </c>
      <c r="AB360" s="222"/>
      <c r="AC360" s="393">
        <f t="shared" ref="AC360" si="306">+AC358+AC348+AC342+AC334</f>
        <v>12544990</v>
      </c>
      <c r="AD360" s="222"/>
      <c r="AE360" s="393">
        <f t="shared" ref="AE360" si="307">+AE358+AE348+AE342+AE334</f>
        <v>2082776</v>
      </c>
      <c r="AF360" s="222"/>
      <c r="AG360" s="393">
        <f t="shared" ref="AG360" si="308">+AG358+AG348+AG342+AG334</f>
        <v>6301646</v>
      </c>
      <c r="AH360" s="155"/>
      <c r="AI360" s="157">
        <f t="shared" si="293"/>
        <v>-3.6324000358581543</v>
      </c>
    </row>
    <row r="361" spans="1:35" ht="15" customHeight="1">
      <c r="E361" s="222"/>
      <c r="F361" s="222"/>
      <c r="G361" s="261"/>
      <c r="H361" s="222"/>
      <c r="I361" s="285"/>
      <c r="U361" s="165"/>
      <c r="AI361" s="157">
        <f t="shared" si="293"/>
        <v>0</v>
      </c>
    </row>
    <row r="362" spans="1:35" ht="15" customHeight="1">
      <c r="C362" s="27" t="s">
        <v>254</v>
      </c>
      <c r="E362" s="222"/>
      <c r="F362" s="222"/>
      <c r="G362" s="261"/>
      <c r="H362" s="222"/>
      <c r="I362" s="285"/>
      <c r="U362" s="165"/>
      <c r="AI362" s="157">
        <f t="shared" si="293"/>
        <v>0</v>
      </c>
    </row>
    <row r="363" spans="1:35" ht="15" customHeight="1">
      <c r="A363" s="287"/>
      <c r="B363" s="165">
        <v>25736</v>
      </c>
      <c r="E363" s="222" t="s">
        <v>265</v>
      </c>
      <c r="F363" s="222"/>
      <c r="G363" s="392" t="s">
        <v>604</v>
      </c>
      <c r="H363" s="260"/>
      <c r="I363" s="285">
        <f>B363*1000</f>
        <v>25736000</v>
      </c>
      <c r="K363" s="156">
        <f t="shared" ref="K363:K369" si="309">ROUND(VLOOKUP($G363,factors,+K$376)*$I363,0)</f>
        <v>16069558</v>
      </c>
      <c r="M363" s="156">
        <f t="shared" ref="M363:M369" si="310">ROUND(VLOOKUP($G363,factors,+M$376)*$I363,0)</f>
        <v>9666442</v>
      </c>
      <c r="N363" s="156"/>
      <c r="O363" s="156">
        <f t="shared" ref="O363:O369" si="311">ROUND(VLOOKUP($G363,factors,+O$376)*$I363,0)</f>
        <v>0</v>
      </c>
      <c r="P363" s="156"/>
      <c r="Q363" s="156">
        <f t="shared" ref="Q363:Q369" si="312">ROUND(VLOOKUP($G363,factors,+Q$376)*$I363,0)</f>
        <v>0</v>
      </c>
      <c r="R363" s="156"/>
      <c r="S363" s="156">
        <f t="shared" ref="S363:S369" si="313">ROUND(VLOOKUP($G363,factors,+S$376)*$I363,0)</f>
        <v>0</v>
      </c>
      <c r="T363" s="156"/>
      <c r="U363" s="165">
        <f t="shared" ref="U363:U369" si="314">ROUND(VLOOKUP($G363,factors,+U$376)*$I363,0)</f>
        <v>0</v>
      </c>
      <c r="V363" s="156"/>
      <c r="W363" s="156">
        <f t="shared" ref="W363:W369" si="315">ROUND(VLOOKUP($G363,factors,+W$376)*$I363,0)</f>
        <v>0</v>
      </c>
      <c r="X363" s="156"/>
      <c r="Y363" s="156">
        <f t="shared" ref="Y363:Y369" si="316">ROUND(VLOOKUP($G363,factors,+Y$376)*$I363,0)</f>
        <v>0</v>
      </c>
      <c r="Z363" s="156"/>
      <c r="AA363" s="156">
        <f t="shared" ref="AA363:AA369" si="317">ROUND(VLOOKUP($G363,factors,+AA$376)*$I363,0)</f>
        <v>0</v>
      </c>
      <c r="AB363" s="156"/>
      <c r="AC363" s="156">
        <f t="shared" ref="AC363:AC369" si="318">ROUND(VLOOKUP($G363,factors,+AC$376)*$I363,0)</f>
        <v>0</v>
      </c>
      <c r="AD363" s="156"/>
      <c r="AE363" s="156">
        <f t="shared" ref="AE363:AE369" si="319">ROUND(VLOOKUP($G363,factors,+AE$376)*$I363,0)</f>
        <v>0</v>
      </c>
      <c r="AF363" s="156"/>
      <c r="AG363" s="156">
        <f t="shared" ref="AG363:AG369" si="320">ROUND(VLOOKUP($G363,factors,+AG$376)*$I363,0)</f>
        <v>0</v>
      </c>
      <c r="AI363" s="157">
        <f t="shared" si="293"/>
        <v>0</v>
      </c>
    </row>
    <row r="364" spans="1:35" ht="15" customHeight="1">
      <c r="A364" s="287"/>
      <c r="B364" s="165">
        <v>24790.860633680382</v>
      </c>
      <c r="E364" s="222" t="s">
        <v>266</v>
      </c>
      <c r="F364" s="222"/>
      <c r="G364" s="261">
        <v>12</v>
      </c>
      <c r="H364" s="260"/>
      <c r="I364" s="285">
        <f>B364*1000</f>
        <v>24790860.633680381</v>
      </c>
      <c r="K364" s="156">
        <f t="shared" si="309"/>
        <v>7320741</v>
      </c>
      <c r="M364" s="156">
        <f t="shared" si="310"/>
        <v>2449337</v>
      </c>
      <c r="N364" s="156"/>
      <c r="O364" s="156">
        <f t="shared" si="311"/>
        <v>572669</v>
      </c>
      <c r="P364" s="156"/>
      <c r="Q364" s="156">
        <f t="shared" si="312"/>
        <v>567711</v>
      </c>
      <c r="R364" s="156"/>
      <c r="S364" s="156">
        <f t="shared" si="313"/>
        <v>979239</v>
      </c>
      <c r="T364" s="156"/>
      <c r="U364" s="165">
        <f t="shared" si="314"/>
        <v>347072</v>
      </c>
      <c r="V364" s="156"/>
      <c r="W364" s="156">
        <f t="shared" si="315"/>
        <v>9995675</v>
      </c>
      <c r="X364" s="156"/>
      <c r="Y364" s="156">
        <f t="shared" si="316"/>
        <v>1898980</v>
      </c>
      <c r="Z364" s="156"/>
      <c r="AA364" s="156">
        <f t="shared" si="317"/>
        <v>302448</v>
      </c>
      <c r="AB364" s="156"/>
      <c r="AC364" s="156">
        <f t="shared" si="318"/>
        <v>203285</v>
      </c>
      <c r="AD364" s="156"/>
      <c r="AE364" s="156">
        <f t="shared" si="319"/>
        <v>42144</v>
      </c>
      <c r="AF364" s="156"/>
      <c r="AG364" s="156">
        <f t="shared" si="320"/>
        <v>111559</v>
      </c>
      <c r="AI364" s="157">
        <f t="shared" si="293"/>
        <v>-0.63368038088083267</v>
      </c>
    </row>
    <row r="365" spans="1:35" ht="15" customHeight="1">
      <c r="A365" s="287"/>
      <c r="B365" s="165">
        <v>14965.139366319618</v>
      </c>
      <c r="E365" s="260" t="s">
        <v>357</v>
      </c>
      <c r="F365" s="260"/>
      <c r="G365" s="392">
        <v>1</v>
      </c>
      <c r="H365" s="260"/>
      <c r="I365" s="285">
        <f t="shared" ref="I365:I368" si="321">B365*1000</f>
        <v>14965139.366319617</v>
      </c>
      <c r="K365" s="156">
        <f t="shared" si="309"/>
        <v>10707557</v>
      </c>
      <c r="M365" s="156">
        <f t="shared" si="310"/>
        <v>4257582</v>
      </c>
      <c r="N365" s="156"/>
      <c r="O365" s="156">
        <f t="shared" si="311"/>
        <v>0</v>
      </c>
      <c r="P365" s="156"/>
      <c r="Q365" s="156">
        <f t="shared" si="312"/>
        <v>0</v>
      </c>
      <c r="R365" s="156"/>
      <c r="S365" s="156">
        <f t="shared" si="313"/>
        <v>0</v>
      </c>
      <c r="T365" s="156"/>
      <c r="U365" s="165">
        <f t="shared" si="314"/>
        <v>0</v>
      </c>
      <c r="V365" s="156"/>
      <c r="W365" s="156">
        <f t="shared" si="315"/>
        <v>0</v>
      </c>
      <c r="X365" s="156"/>
      <c r="Y365" s="156">
        <f t="shared" si="316"/>
        <v>0</v>
      </c>
      <c r="Z365" s="156"/>
      <c r="AA365" s="156">
        <f t="shared" si="317"/>
        <v>0</v>
      </c>
      <c r="AB365" s="156"/>
      <c r="AC365" s="156">
        <f t="shared" si="318"/>
        <v>0</v>
      </c>
      <c r="AD365" s="156"/>
      <c r="AE365" s="156">
        <f t="shared" si="319"/>
        <v>0</v>
      </c>
      <c r="AF365" s="156"/>
      <c r="AG365" s="156">
        <f t="shared" si="320"/>
        <v>0</v>
      </c>
      <c r="AI365" s="157">
        <f t="shared" si="293"/>
        <v>-0.36631961725652218</v>
      </c>
    </row>
    <row r="366" spans="1:35" ht="15" customHeight="1">
      <c r="A366" s="287"/>
      <c r="B366" s="165">
        <v>13666</v>
      </c>
      <c r="E366" s="222" t="s">
        <v>264</v>
      </c>
      <c r="F366" s="222"/>
      <c r="G366" s="261">
        <v>12</v>
      </c>
      <c r="H366" s="222"/>
      <c r="I366" s="285">
        <f t="shared" si="321"/>
        <v>13666000</v>
      </c>
      <c r="K366" s="156">
        <f t="shared" si="309"/>
        <v>4035570</v>
      </c>
      <c r="M366" s="156">
        <f t="shared" si="310"/>
        <v>1350201</v>
      </c>
      <c r="N366" s="156"/>
      <c r="O366" s="156">
        <f t="shared" si="311"/>
        <v>315685</v>
      </c>
      <c r="P366" s="156"/>
      <c r="Q366" s="156">
        <f t="shared" si="312"/>
        <v>312951</v>
      </c>
      <c r="R366" s="156"/>
      <c r="S366" s="156">
        <f t="shared" si="313"/>
        <v>539807</v>
      </c>
      <c r="T366" s="156"/>
      <c r="U366" s="165">
        <f t="shared" si="314"/>
        <v>191324</v>
      </c>
      <c r="V366" s="156"/>
      <c r="W366" s="156">
        <f t="shared" si="315"/>
        <v>5510131</v>
      </c>
      <c r="X366" s="156"/>
      <c r="Y366" s="156">
        <f t="shared" si="316"/>
        <v>1046816</v>
      </c>
      <c r="Z366" s="156"/>
      <c r="AA366" s="156">
        <f t="shared" si="317"/>
        <v>166725</v>
      </c>
      <c r="AB366" s="156"/>
      <c r="AC366" s="156">
        <f t="shared" si="318"/>
        <v>112061</v>
      </c>
      <c r="AD366" s="156"/>
      <c r="AE366" s="156">
        <f t="shared" si="319"/>
        <v>23232</v>
      </c>
      <c r="AF366" s="156"/>
      <c r="AG366" s="156">
        <f t="shared" si="320"/>
        <v>61497</v>
      </c>
      <c r="AI366" s="157">
        <f t="shared" si="293"/>
        <v>0</v>
      </c>
    </row>
    <row r="367" spans="1:35" ht="15" customHeight="1">
      <c r="A367" s="287"/>
      <c r="B367" s="165">
        <v>-574782</v>
      </c>
      <c r="E367" s="222" t="s">
        <v>267</v>
      </c>
      <c r="F367" s="222"/>
      <c r="G367" s="261">
        <v>14</v>
      </c>
      <c r="H367" s="222"/>
      <c r="I367" s="285">
        <f t="shared" si="321"/>
        <v>-574782000</v>
      </c>
      <c r="K367" s="156">
        <f t="shared" si="309"/>
        <v>-179044593</v>
      </c>
      <c r="M367" s="156">
        <f t="shared" si="310"/>
        <v>-94781552</v>
      </c>
      <c r="N367" s="156"/>
      <c r="O367" s="156">
        <f t="shared" si="311"/>
        <v>-24715626</v>
      </c>
      <c r="P367" s="156"/>
      <c r="Q367" s="156">
        <f t="shared" si="312"/>
        <v>-24313279</v>
      </c>
      <c r="R367" s="156"/>
      <c r="S367" s="156">
        <f t="shared" si="313"/>
        <v>-21094499</v>
      </c>
      <c r="T367" s="156"/>
      <c r="U367" s="165">
        <f t="shared" si="314"/>
        <v>-10461032</v>
      </c>
      <c r="V367" s="156"/>
      <c r="W367" s="156">
        <f t="shared" si="315"/>
        <v>-176687987</v>
      </c>
      <c r="X367" s="156"/>
      <c r="Y367" s="156">
        <f t="shared" si="316"/>
        <v>-35981353</v>
      </c>
      <c r="Z367" s="156"/>
      <c r="AA367" s="156">
        <f t="shared" si="317"/>
        <v>-3506170</v>
      </c>
      <c r="AB367" s="156"/>
      <c r="AC367" s="156">
        <f t="shared" si="318"/>
        <v>-2529041</v>
      </c>
      <c r="AD367" s="156"/>
      <c r="AE367" s="156">
        <f t="shared" si="319"/>
        <v>-402347</v>
      </c>
      <c r="AF367" s="156"/>
      <c r="AG367" s="156">
        <f t="shared" si="320"/>
        <v>-1264520</v>
      </c>
      <c r="AI367" s="157">
        <f t="shared" si="293"/>
        <v>1</v>
      </c>
    </row>
    <row r="368" spans="1:35" s="87" customFormat="1" ht="15" customHeight="1">
      <c r="A368" s="287"/>
      <c r="B368" s="310">
        <v>-18920</v>
      </c>
      <c r="E368" s="260" t="s">
        <v>41</v>
      </c>
      <c r="F368" s="260"/>
      <c r="G368" s="392">
        <v>8</v>
      </c>
      <c r="H368" s="260"/>
      <c r="I368" s="285">
        <f t="shared" si="321"/>
        <v>-18920000</v>
      </c>
      <c r="K368" s="177">
        <f t="shared" si="309"/>
        <v>0</v>
      </c>
      <c r="M368" s="177">
        <f t="shared" si="310"/>
        <v>0</v>
      </c>
      <c r="N368" s="177"/>
      <c r="O368" s="177">
        <f t="shared" si="311"/>
        <v>0</v>
      </c>
      <c r="P368" s="177"/>
      <c r="Q368" s="177">
        <f t="shared" si="312"/>
        <v>0</v>
      </c>
      <c r="R368" s="177"/>
      <c r="S368" s="177">
        <f t="shared" si="313"/>
        <v>0</v>
      </c>
      <c r="T368" s="177"/>
      <c r="U368" s="310">
        <f t="shared" si="314"/>
        <v>0</v>
      </c>
      <c r="V368" s="177"/>
      <c r="W368" s="177">
        <f t="shared" si="315"/>
        <v>-16967456</v>
      </c>
      <c r="X368" s="177"/>
      <c r="Y368" s="177">
        <f t="shared" si="316"/>
        <v>-1952544</v>
      </c>
      <c r="Z368" s="177"/>
      <c r="AA368" s="177">
        <f t="shared" si="317"/>
        <v>0</v>
      </c>
      <c r="AB368" s="177"/>
      <c r="AC368" s="177">
        <f t="shared" si="318"/>
        <v>0</v>
      </c>
      <c r="AD368" s="177"/>
      <c r="AE368" s="177">
        <f t="shared" si="319"/>
        <v>0</v>
      </c>
      <c r="AF368" s="177"/>
      <c r="AG368" s="177">
        <f t="shared" si="320"/>
        <v>0</v>
      </c>
      <c r="AI368" s="157">
        <f t="shared" si="293"/>
        <v>0</v>
      </c>
    </row>
    <row r="369" spans="1:37" s="87" customFormat="1" ht="15" customHeight="1">
      <c r="A369" s="287"/>
      <c r="B369" s="944"/>
      <c r="E369" s="260" t="s">
        <v>422</v>
      </c>
      <c r="F369" s="260"/>
      <c r="G369" s="392">
        <v>14</v>
      </c>
      <c r="H369" s="260"/>
      <c r="I369" s="393">
        <f t="shared" ref="I369" si="322">+A369*1000</f>
        <v>0</v>
      </c>
      <c r="J369" s="155"/>
      <c r="K369" s="161">
        <f t="shared" si="309"/>
        <v>0</v>
      </c>
      <c r="L369" s="149"/>
      <c r="M369" s="161">
        <f t="shared" si="310"/>
        <v>0</v>
      </c>
      <c r="N369" s="156"/>
      <c r="O369" s="161">
        <f t="shared" si="311"/>
        <v>0</v>
      </c>
      <c r="P369" s="162"/>
      <c r="Q369" s="161">
        <f t="shared" si="312"/>
        <v>0</v>
      </c>
      <c r="R369" s="156"/>
      <c r="S369" s="161">
        <f t="shared" si="313"/>
        <v>0</v>
      </c>
      <c r="T369" s="162"/>
      <c r="U369" s="309">
        <f t="shared" si="314"/>
        <v>0</v>
      </c>
      <c r="V369" s="156"/>
      <c r="W369" s="161">
        <f t="shared" si="315"/>
        <v>0</v>
      </c>
      <c r="X369" s="156"/>
      <c r="Y369" s="161">
        <f t="shared" si="316"/>
        <v>0</v>
      </c>
      <c r="Z369" s="156"/>
      <c r="AA369" s="161">
        <f t="shared" si="317"/>
        <v>0</v>
      </c>
      <c r="AB369" s="162"/>
      <c r="AC369" s="161">
        <f t="shared" si="318"/>
        <v>0</v>
      </c>
      <c r="AD369" s="156"/>
      <c r="AE369" s="161">
        <f t="shared" si="319"/>
        <v>0</v>
      </c>
      <c r="AF369" s="156"/>
      <c r="AG369" s="161">
        <f t="shared" si="320"/>
        <v>0</v>
      </c>
      <c r="AI369" s="157">
        <f t="shared" si="293"/>
        <v>0</v>
      </c>
    </row>
    <row r="370" spans="1:37" ht="15" customHeight="1">
      <c r="E370" s="222" t="s">
        <v>268</v>
      </c>
      <c r="F370" s="222"/>
      <c r="G370" s="261"/>
      <c r="H370" s="222"/>
      <c r="I370" s="393">
        <f>SUM(I363:I369)</f>
        <v>-514544000</v>
      </c>
      <c r="K370" s="160">
        <f>SUM(K363:K369)</f>
        <v>-140911167</v>
      </c>
      <c r="M370" s="160">
        <f>SUM(M363:M369)</f>
        <v>-77057990</v>
      </c>
      <c r="O370" s="160">
        <f>SUM(O363:O369)</f>
        <v>-23827272</v>
      </c>
      <c r="P370" s="163"/>
      <c r="Q370" s="160">
        <f>SUM(Q363:Q369)</f>
        <v>-23432617</v>
      </c>
      <c r="S370" s="160">
        <f>SUM(S363:S369)</f>
        <v>-19575453</v>
      </c>
      <c r="T370" s="163"/>
      <c r="U370" s="309">
        <f>SUM(U363:U369)</f>
        <v>-9922636</v>
      </c>
      <c r="W370" s="160">
        <f>SUM(W363:W369)</f>
        <v>-178149637</v>
      </c>
      <c r="Y370" s="160">
        <f>SUM(Y363:Y369)</f>
        <v>-34988101</v>
      </c>
      <c r="AA370" s="160">
        <f>SUM(AA363:AA369)</f>
        <v>-3036997</v>
      </c>
      <c r="AB370" s="163"/>
      <c r="AC370" s="160">
        <f>SUM(AC363:AC369)</f>
        <v>-2213695</v>
      </c>
      <c r="AE370" s="160">
        <f t="shared" ref="AE370" si="323">SUM(AE363:AE369)</f>
        <v>-336971</v>
      </c>
      <c r="AG370" s="160">
        <f t="shared" ref="AG370" si="324">SUM(AG363:AG369)</f>
        <v>-1091464</v>
      </c>
      <c r="AH370" s="160"/>
      <c r="AI370" s="157">
        <f t="shared" si="293"/>
        <v>0</v>
      </c>
    </row>
    <row r="371" spans="1:37" ht="15" customHeight="1">
      <c r="E371" s="222"/>
      <c r="F371" s="222"/>
      <c r="G371" s="261"/>
      <c r="H371" s="222"/>
      <c r="I371" s="285"/>
      <c r="AI371" s="157">
        <f t="shared" si="293"/>
        <v>0</v>
      </c>
    </row>
    <row r="372" spans="1:37" ht="15" customHeight="1">
      <c r="E372" s="260" t="s">
        <v>537</v>
      </c>
      <c r="F372" s="222"/>
      <c r="G372" s="261"/>
      <c r="H372" s="222"/>
      <c r="I372" s="489">
        <f>+I370+I360</f>
        <v>2363572326.6324</v>
      </c>
      <c r="J372" s="44"/>
      <c r="K372" s="43">
        <f>+K370+K360</f>
        <v>736354649</v>
      </c>
      <c r="L372" s="44"/>
      <c r="M372" s="43">
        <f>+M370+M360</f>
        <v>389657548</v>
      </c>
      <c r="N372" s="44"/>
      <c r="O372" s="43">
        <f>+O370+O360</f>
        <v>101645207</v>
      </c>
      <c r="P372" s="128"/>
      <c r="Q372" s="43">
        <f>+Q370+Q360</f>
        <v>100008811</v>
      </c>
      <c r="R372" s="44"/>
      <c r="S372" s="43">
        <f>+S370+S360</f>
        <v>86624129</v>
      </c>
      <c r="T372" s="128"/>
      <c r="U372" s="307">
        <f>+U370+U360</f>
        <v>43053817</v>
      </c>
      <c r="V372" s="44"/>
      <c r="W372" s="43">
        <f>+W370+W360</f>
        <v>726542085</v>
      </c>
      <c r="X372" s="44"/>
      <c r="Y372" s="43">
        <f>+Y370+Y360</f>
        <v>147927932</v>
      </c>
      <c r="Z372" s="44"/>
      <c r="AA372" s="43">
        <f>+AA370+AA360</f>
        <v>14470863</v>
      </c>
      <c r="AB372" s="128"/>
      <c r="AC372" s="43">
        <f>+AC370+AC360</f>
        <v>10331295</v>
      </c>
      <c r="AD372" s="44"/>
      <c r="AE372" s="43">
        <f>+AE370+AE360</f>
        <v>1745805</v>
      </c>
      <c r="AF372" s="44"/>
      <c r="AG372" s="43">
        <f>+AG370+AG360</f>
        <v>5210182</v>
      </c>
      <c r="AH372" s="27"/>
      <c r="AI372" s="157">
        <f t="shared" si="293"/>
        <v>-3.6324000358581543</v>
      </c>
      <c r="AJ372" s="155"/>
      <c r="AK372" s="155"/>
    </row>
    <row r="373" spans="1:37" ht="15" customHeight="1">
      <c r="E373" s="222"/>
      <c r="F373" s="222"/>
      <c r="G373" s="261"/>
      <c r="H373" s="222"/>
      <c r="I373" s="285"/>
      <c r="AI373" s="157"/>
    </row>
    <row r="374" spans="1:37">
      <c r="E374" s="222"/>
      <c r="F374" s="222"/>
      <c r="G374" s="261"/>
      <c r="H374" s="222"/>
      <c r="I374" s="285"/>
      <c r="K374" s="150"/>
      <c r="L374" s="150"/>
      <c r="M374" s="164"/>
      <c r="N374" s="164"/>
      <c r="O374" s="164"/>
      <c r="P374" s="164"/>
      <c r="Q374" s="164"/>
      <c r="R374" s="150"/>
      <c r="S374" s="164"/>
      <c r="T374" s="164"/>
      <c r="U374" s="164"/>
      <c r="W374" s="150"/>
      <c r="X374" s="150"/>
      <c r="Y374" s="164"/>
      <c r="Z374" s="164"/>
      <c r="AA374" s="164"/>
      <c r="AB374" s="164"/>
      <c r="AC374" s="164"/>
      <c r="AD374" s="150"/>
      <c r="AE374" s="164"/>
      <c r="AF374" s="164"/>
      <c r="AG374" s="164"/>
    </row>
    <row r="375" spans="1:37">
      <c r="E375" s="222"/>
      <c r="F375" s="222"/>
      <c r="G375" s="261"/>
      <c r="H375" s="222"/>
      <c r="I375" s="285"/>
      <c r="K375" s="167" t="s">
        <v>342</v>
      </c>
      <c r="M375" s="167" t="s">
        <v>344</v>
      </c>
      <c r="N375" s="150"/>
      <c r="O375" s="167" t="s">
        <v>345</v>
      </c>
      <c r="P375" s="164"/>
      <c r="Q375" s="167" t="s">
        <v>346</v>
      </c>
      <c r="S375" s="167" t="s">
        <v>347</v>
      </c>
      <c r="T375" s="164"/>
      <c r="U375" s="167" t="s">
        <v>424</v>
      </c>
      <c r="W375" s="167" t="s">
        <v>342</v>
      </c>
      <c r="Y375" s="167" t="s">
        <v>344</v>
      </c>
      <c r="Z375" s="150"/>
      <c r="AA375" s="167" t="s">
        <v>345</v>
      </c>
      <c r="AB375" s="164"/>
      <c r="AC375" s="167" t="s">
        <v>346</v>
      </c>
      <c r="AE375" s="167" t="s">
        <v>347</v>
      </c>
      <c r="AF375" s="164"/>
      <c r="AG375" s="167" t="s">
        <v>424</v>
      </c>
    </row>
    <row r="376" spans="1:37">
      <c r="E376" s="222"/>
      <c r="F376" s="222"/>
      <c r="G376" s="261"/>
      <c r="H376" s="222"/>
      <c r="I376" s="285"/>
      <c r="K376" s="149">
        <v>2</v>
      </c>
      <c r="M376" s="149">
        <v>4</v>
      </c>
      <c r="O376" s="149">
        <v>6</v>
      </c>
      <c r="Q376" s="150">
        <v>8</v>
      </c>
      <c r="S376" s="149">
        <f>+Q376+2</f>
        <v>10</v>
      </c>
      <c r="U376" s="149">
        <v>12</v>
      </c>
      <c r="W376" s="149">
        <v>14</v>
      </c>
      <c r="Y376" s="149">
        <f t="shared" ref="Y376" si="325">+W376+2</f>
        <v>16</v>
      </c>
      <c r="AA376" s="149">
        <f t="shared" ref="AA376" si="326">+Y376+2</f>
        <v>18</v>
      </c>
      <c r="AC376" s="149">
        <f t="shared" ref="AC376" si="327">+AA376+2</f>
        <v>20</v>
      </c>
      <c r="AE376" s="149">
        <f t="shared" ref="AE376" si="328">+AC376+2</f>
        <v>22</v>
      </c>
      <c r="AG376" s="149">
        <f t="shared" ref="AG376" si="329">+AE376+2</f>
        <v>24</v>
      </c>
    </row>
    <row r="377" spans="1:37">
      <c r="E377" s="222"/>
      <c r="F377" s="222"/>
      <c r="G377" s="261"/>
      <c r="H377" s="222"/>
      <c r="I377" s="285"/>
    </row>
    <row r="378" spans="1:37">
      <c r="E378" s="222"/>
      <c r="F378" s="285" t="s">
        <v>331</v>
      </c>
      <c r="G378" s="261"/>
      <c r="H378" s="222"/>
      <c r="I378" s="222"/>
      <c r="J378" s="149">
        <v>1</v>
      </c>
      <c r="K378" s="168">
        <f>+'Ft  1to4'!F19</f>
        <v>0.71550000000000002</v>
      </c>
      <c r="L378" s="168"/>
      <c r="M378" s="168">
        <f>+'Ft  1to4'!F20</f>
        <v>0.28449999999999998</v>
      </c>
      <c r="N378" s="168"/>
      <c r="O378" s="168">
        <f>+'Ft  1to4'!F21</f>
        <v>0</v>
      </c>
      <c r="P378" s="168"/>
      <c r="Q378" s="168">
        <f>+'Ft  1to4'!F22</f>
        <v>0</v>
      </c>
      <c r="R378" s="168"/>
      <c r="S378" s="168">
        <f>+'Ft  1to4'!F23</f>
        <v>0</v>
      </c>
      <c r="T378" s="168"/>
      <c r="U378" s="168">
        <f>+'Ft  1to4'!F24</f>
        <v>0</v>
      </c>
      <c r="V378" s="168"/>
      <c r="W378" s="168"/>
      <c r="X378" s="168"/>
      <c r="Y378" s="168"/>
      <c r="Z378" s="168"/>
      <c r="AA378" s="168"/>
      <c r="AB378" s="168"/>
      <c r="AC378" s="168"/>
      <c r="AD378" s="168"/>
      <c r="AE378" s="168"/>
      <c r="AF378" s="168"/>
      <c r="AG378" s="168"/>
      <c r="AI378" s="168">
        <f t="shared" ref="AI378:AI385" si="330">SUM(K378:AG378)</f>
        <v>1</v>
      </c>
      <c r="AJ378" s="47" t="str">
        <f>+IF(AI378=1,"0k","&lt;&lt;&lt;??")</f>
        <v>0k</v>
      </c>
      <c r="AK378" s="466">
        <v>1</v>
      </c>
    </row>
    <row r="379" spans="1:37">
      <c r="E379" s="222"/>
      <c r="F379" s="285"/>
      <c r="G379" s="261"/>
      <c r="H379" s="222"/>
      <c r="I379" s="222"/>
      <c r="J379" s="87" t="s">
        <v>604</v>
      </c>
      <c r="K379" s="168">
        <f>+'Ft  1to4'!K19</f>
        <v>0.62439999999999996</v>
      </c>
      <c r="L379" s="168"/>
      <c r="M379" s="168">
        <f>+'Ft  1to4'!K20</f>
        <v>0.37559999999999999</v>
      </c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I379" s="168">
        <f t="shared" ref="AI379" si="331">SUM(K379:AG379)</f>
        <v>1</v>
      </c>
      <c r="AJ379" s="47" t="str">
        <f>+IF(AI379=1,"0k","&lt;&lt;&lt;??")</f>
        <v>0k</v>
      </c>
      <c r="AK379" s="467" t="s">
        <v>604</v>
      </c>
    </row>
    <row r="380" spans="1:37">
      <c r="E380" s="222"/>
      <c r="F380" s="285" t="s">
        <v>332</v>
      </c>
      <c r="G380" s="261"/>
      <c r="H380" s="222"/>
      <c r="I380" s="222"/>
      <c r="J380" s="149">
        <v>2</v>
      </c>
      <c r="K380" s="168">
        <f>+'Ft  1to4'!V19</f>
        <v>0.14910000000000001</v>
      </c>
      <c r="L380" s="168"/>
      <c r="M380" s="168">
        <f>+'Ft  1to4'!V20</f>
        <v>8.9700000000000002E-2</v>
      </c>
      <c r="N380" s="168"/>
      <c r="O380" s="168">
        <f>+'Ft  1to4'!V21</f>
        <v>3.2800000000000003E-2</v>
      </c>
      <c r="P380" s="168"/>
      <c r="Q380" s="168">
        <f>+'Ft  1to4'!V22</f>
        <v>6.5199999999999994E-2</v>
      </c>
      <c r="R380" s="168"/>
      <c r="S380" s="168">
        <f>+'Ft  1to4'!V23</f>
        <v>0.49509999999999998</v>
      </c>
      <c r="T380" s="168"/>
      <c r="U380" s="168">
        <f>+'Ft  1to4'!V24</f>
        <v>0.1681</v>
      </c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I380" s="168">
        <f t="shared" si="330"/>
        <v>1</v>
      </c>
      <c r="AJ380" s="47" t="str">
        <f t="shared" ref="AJ380:AJ418" si="332">+IF(AI380=1,"0k","&lt;&lt;&lt;??")</f>
        <v>0k</v>
      </c>
      <c r="AK380" s="466">
        <v>2</v>
      </c>
    </row>
    <row r="381" spans="1:37">
      <c r="E381" s="222"/>
      <c r="F381" s="285"/>
      <c r="G381" s="261"/>
      <c r="H381" s="222"/>
      <c r="I381" s="222"/>
      <c r="J381" s="87" t="s">
        <v>427</v>
      </c>
      <c r="K381" s="168">
        <f>+'Ft  1to4'!AD19</f>
        <v>0</v>
      </c>
      <c r="L381" s="168"/>
      <c r="M381" s="168">
        <f>+'Ft  1to4'!AD20</f>
        <v>0</v>
      </c>
      <c r="N381" s="168"/>
      <c r="O381" s="168">
        <f>+'Ft  1to4'!AD21</f>
        <v>0</v>
      </c>
      <c r="P381" s="168"/>
      <c r="Q381" s="168">
        <f>+'Ft  1to4'!AD22</f>
        <v>0</v>
      </c>
      <c r="R381" s="168"/>
      <c r="S381" s="168">
        <f>+'Ft  1to4'!AD23</f>
        <v>0</v>
      </c>
      <c r="T381" s="168"/>
      <c r="U381" s="168">
        <f>+'Ft  1to4'!AD24</f>
        <v>0</v>
      </c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/>
      <c r="AF381" s="168"/>
      <c r="AG381" s="168"/>
      <c r="AI381" s="168">
        <f t="shared" si="330"/>
        <v>0</v>
      </c>
      <c r="AJ381" s="47" t="str">
        <f t="shared" ref="AJ381" si="333">+IF(AI381=1,"0k","&lt;&lt;&lt;??")</f>
        <v>&lt;&lt;&lt;??</v>
      </c>
      <c r="AK381" s="467" t="s">
        <v>427</v>
      </c>
    </row>
    <row r="382" spans="1:37">
      <c r="E382" s="222"/>
      <c r="F382" s="285" t="s">
        <v>333</v>
      </c>
      <c r="G382" s="261"/>
      <c r="H382" s="222"/>
      <c r="I382" s="222"/>
      <c r="J382" s="149">
        <v>3</v>
      </c>
      <c r="K382" s="168">
        <f>+'Ftr 3 &amp; 6'!I17</f>
        <v>0.47810000000000002</v>
      </c>
      <c r="L382" s="168"/>
      <c r="M382" s="168">
        <f>+'Ftr 3 &amp; 6'!I18</f>
        <v>0.2576</v>
      </c>
      <c r="N382" s="168"/>
      <c r="O382" s="168">
        <f>+'Ftr 3 &amp; 6'!I19</f>
        <v>6.3E-2</v>
      </c>
      <c r="P382" s="168"/>
      <c r="Q382" s="168">
        <f>+'Ftr 3 &amp; 6'!I20</f>
        <v>3.5200000000000002E-2</v>
      </c>
      <c r="R382" s="168"/>
      <c r="S382" s="168">
        <f>+'Ftr 3 &amp; 6'!I22</f>
        <v>0.1661</v>
      </c>
      <c r="T382" s="168"/>
      <c r="U382" s="168">
        <f>+'Ftr 3 &amp; 6'!I23</f>
        <v>0</v>
      </c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I382" s="168">
        <f t="shared" si="330"/>
        <v>1</v>
      </c>
      <c r="AJ382" s="47" t="str">
        <f t="shared" si="332"/>
        <v>0k</v>
      </c>
      <c r="AK382" s="466">
        <v>3</v>
      </c>
    </row>
    <row r="383" spans="1:37">
      <c r="E383" s="222"/>
      <c r="F383" s="285" t="s">
        <v>334</v>
      </c>
      <c r="G383" s="261"/>
      <c r="H383" s="222"/>
      <c r="I383" s="222"/>
      <c r="J383" s="149">
        <v>4</v>
      </c>
      <c r="K383" s="168">
        <f>+'Ft  1to4'!Z44</f>
        <v>0.52380000000000004</v>
      </c>
      <c r="L383" s="168"/>
      <c r="M383" s="168">
        <f>+'Ft  1to4'!Z45</f>
        <v>0.28889999999999999</v>
      </c>
      <c r="N383" s="168"/>
      <c r="O383" s="168">
        <f>+'Ft  1to4'!Z46</f>
        <v>7.8300000000000008E-2</v>
      </c>
      <c r="P383" s="168"/>
      <c r="Q383" s="168">
        <f>+'Ft  1to4'!Z47</f>
        <v>7.6999999999999999E-2</v>
      </c>
      <c r="R383" s="168"/>
      <c r="S383" s="168">
        <f>+'Ft  1to4'!Z48</f>
        <v>0</v>
      </c>
      <c r="T383" s="168"/>
      <c r="U383" s="168">
        <f>+'Ft  1to4'!Z49</f>
        <v>3.2000000000000001E-2</v>
      </c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I383" s="168">
        <f t="shared" si="330"/>
        <v>1</v>
      </c>
      <c r="AJ383" s="47" t="str">
        <f t="shared" si="332"/>
        <v>0k</v>
      </c>
      <c r="AK383" s="466">
        <v>4</v>
      </c>
    </row>
    <row r="384" spans="1:37">
      <c r="E384" s="222"/>
      <c r="F384" s="262" t="s">
        <v>460</v>
      </c>
      <c r="G384" s="261"/>
      <c r="H384" s="222"/>
      <c r="I384" s="222"/>
      <c r="J384" s="87" t="s">
        <v>459</v>
      </c>
      <c r="K384" s="168">
        <f>+'Ft  1to4'!Z69</f>
        <v>0.32299999999999995</v>
      </c>
      <c r="L384" s="168"/>
      <c r="M384" s="168">
        <f>+'Ft  1to4'!Z70</f>
        <v>0.17849999999999999</v>
      </c>
      <c r="N384" s="168"/>
      <c r="O384" s="168">
        <f>+'Ft  1to4'!Z71</f>
        <v>4.8800000000000003E-2</v>
      </c>
      <c r="P384" s="168"/>
      <c r="Q384" s="168">
        <f>+'Ft  1to4'!Z72</f>
        <v>4.9299999999999997E-2</v>
      </c>
      <c r="R384" s="168"/>
      <c r="S384" s="168">
        <f>+'Ft  1to4'!Z73</f>
        <v>0.32119999999999999</v>
      </c>
      <c r="T384" s="168"/>
      <c r="U384" s="168">
        <f>+'Ft  1to4'!Z74</f>
        <v>7.9200000000000007E-2</v>
      </c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I384" s="168">
        <f t="shared" si="330"/>
        <v>0.99999999999999989</v>
      </c>
      <c r="AJ384" s="47" t="str">
        <f t="shared" ref="AJ384" si="334">+IF(AI384=1,"0k","&lt;&lt;&lt;??")</f>
        <v>0k</v>
      </c>
      <c r="AK384" s="467" t="s">
        <v>459</v>
      </c>
    </row>
    <row r="385" spans="2:37">
      <c r="E385" s="222"/>
      <c r="F385" s="285" t="s">
        <v>336</v>
      </c>
      <c r="G385" s="261"/>
      <c r="H385" s="222"/>
      <c r="I385" s="222"/>
      <c r="J385" s="149">
        <v>5</v>
      </c>
      <c r="K385" s="168">
        <f>+'FTR 5&amp; 5A'!N18</f>
        <v>0.52380000000000004</v>
      </c>
      <c r="L385" s="168"/>
      <c r="M385" s="168">
        <f>+'FTR 5&amp; 5A'!N19</f>
        <v>0.28889999999999999</v>
      </c>
      <c r="N385" s="168"/>
      <c r="O385" s="168">
        <f>+'FTR 5&amp; 5A'!N20</f>
        <v>7.8300000000000008E-2</v>
      </c>
      <c r="P385" s="168"/>
      <c r="Q385" s="168">
        <f>+'FTR 5&amp; 5A'!N21</f>
        <v>7.6999999999999999E-2</v>
      </c>
      <c r="R385" s="168"/>
      <c r="S385" s="168">
        <f>+'FTR 5&amp; 5A'!N22</f>
        <v>0</v>
      </c>
      <c r="T385" s="168">
        <f>+'FTR 5&amp; 5A'!Q21</f>
        <v>0</v>
      </c>
      <c r="U385" s="168">
        <f>+'FTR 5&amp; 5A'!N23</f>
        <v>3.2000000000000001E-2</v>
      </c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I385" s="168">
        <f t="shared" si="330"/>
        <v>1</v>
      </c>
      <c r="AJ385" s="47" t="str">
        <f t="shared" si="332"/>
        <v>0k</v>
      </c>
      <c r="AK385" s="466">
        <v>5</v>
      </c>
    </row>
    <row r="386" spans="2:37">
      <c r="E386" s="222"/>
      <c r="F386" s="285" t="s">
        <v>336</v>
      </c>
      <c r="G386" s="261"/>
      <c r="H386" s="222"/>
      <c r="I386" s="222"/>
      <c r="J386" s="149" t="s">
        <v>335</v>
      </c>
      <c r="K386" s="168">
        <f>+'FTR 5&amp; 5A'!N46</f>
        <v>0</v>
      </c>
      <c r="L386" s="168"/>
      <c r="M386" s="168">
        <f>+'FTR 5&amp; 5A'!N47</f>
        <v>0</v>
      </c>
      <c r="N386" s="168"/>
      <c r="O386" s="168">
        <f>+'FTR 5&amp; 5A'!N48</f>
        <v>0</v>
      </c>
      <c r="P386" s="168"/>
      <c r="Q386" s="168">
        <f>+'FTR 5&amp; 5A'!N49</f>
        <v>0</v>
      </c>
      <c r="R386" s="168">
        <f>+'FTR 5&amp; 5A'!O49</f>
        <v>0</v>
      </c>
      <c r="S386" s="168">
        <f>+'FTR 5&amp; 5A'!N50</f>
        <v>0</v>
      </c>
      <c r="T386" s="168">
        <f>+'FTR 5&amp; 5A'!Q49</f>
        <v>0</v>
      </c>
      <c r="U386" s="168">
        <f>+'FTR 5&amp; 5A'!N51</f>
        <v>0</v>
      </c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I386" s="168">
        <f t="shared" ref="AI386:AI387" si="335">SUM(K386:AG386)</f>
        <v>0</v>
      </c>
      <c r="AJ386" s="47" t="str">
        <f t="shared" ref="AJ386:AJ387" si="336">+IF(AI386=1,"0k","&lt;&lt;&lt;??")</f>
        <v>&lt;&lt;&lt;??</v>
      </c>
      <c r="AK386" s="466" t="s">
        <v>335</v>
      </c>
    </row>
    <row r="387" spans="2:37">
      <c r="E387" s="222"/>
      <c r="F387" s="285" t="s">
        <v>336</v>
      </c>
      <c r="G387" s="261"/>
      <c r="H387" s="222"/>
      <c r="I387" s="222"/>
      <c r="J387" s="87" t="s">
        <v>456</v>
      </c>
      <c r="K387" s="168">
        <f>+'FTR 5&amp; 5A'!N73</f>
        <v>0</v>
      </c>
      <c r="L387" s="168"/>
      <c r="M387" s="168">
        <f>+'FTR 5&amp; 5A'!N74</f>
        <v>0</v>
      </c>
      <c r="N387" s="168"/>
      <c r="O387" s="168">
        <f>+'FTR 5&amp; 5A'!N75</f>
        <v>0</v>
      </c>
      <c r="P387" s="168"/>
      <c r="Q387" s="168">
        <f>+'FTR 5&amp; 5A'!N76</f>
        <v>0</v>
      </c>
      <c r="R387" s="168"/>
      <c r="S387" s="168">
        <f>+'FTR 5&amp; 5A'!N77</f>
        <v>0</v>
      </c>
      <c r="T387" s="168">
        <f>+'FTR 5&amp; 5A'!O77</f>
        <v>0</v>
      </c>
      <c r="U387" s="168">
        <f>+'FTR 5&amp; 5A'!N78</f>
        <v>0</v>
      </c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I387" s="168">
        <f t="shared" si="335"/>
        <v>0</v>
      </c>
      <c r="AJ387" s="47" t="str">
        <f t="shared" si="336"/>
        <v>&lt;&lt;&lt;??</v>
      </c>
      <c r="AK387" s="467" t="s">
        <v>456</v>
      </c>
    </row>
    <row r="388" spans="2:37">
      <c r="E388" s="222"/>
      <c r="F388" s="285" t="s">
        <v>337</v>
      </c>
      <c r="G388" s="261"/>
      <c r="H388" s="222"/>
      <c r="I388" s="222"/>
      <c r="J388" s="149">
        <v>6</v>
      </c>
      <c r="K388" s="168"/>
      <c r="M388" s="168"/>
      <c r="O388" s="168"/>
      <c r="P388" s="168"/>
      <c r="Q388" s="168"/>
      <c r="S388" s="168"/>
      <c r="T388" s="168"/>
      <c r="U388" s="168"/>
      <c r="V388" s="168"/>
      <c r="W388" s="509">
        <f>+'Ftr 3 &amp; 6'!I61</f>
        <v>0.4385</v>
      </c>
      <c r="X388" s="509"/>
      <c r="Y388" s="509">
        <f>+'Ftr 3 &amp; 6'!I62</f>
        <v>0.4214</v>
      </c>
      <c r="Z388" s="509"/>
      <c r="AA388" s="509">
        <f>+'Ftr 3 &amp; 6'!I63</f>
        <v>6.6199999999999995E-2</v>
      </c>
      <c r="AB388" s="509"/>
      <c r="AC388" s="509">
        <f>+'Ftr 3 &amp; 6'!I64</f>
        <v>4.0500000000000001E-2</v>
      </c>
      <c r="AD388" s="509"/>
      <c r="AE388" s="509">
        <f>+'Ftr 3 &amp; 6'!I65</f>
        <v>8.3999999999999995E-3</v>
      </c>
      <c r="AF388" s="509"/>
      <c r="AG388" s="509">
        <f>+'Ftr 3 &amp; 6'!I66</f>
        <v>2.5000000000000001E-2</v>
      </c>
      <c r="AI388" s="168">
        <f>SUM(K388:AG388)</f>
        <v>1</v>
      </c>
      <c r="AJ388" s="47" t="str">
        <f t="shared" si="332"/>
        <v>0k</v>
      </c>
      <c r="AK388" s="466">
        <v>6</v>
      </c>
    </row>
    <row r="389" spans="2:37">
      <c r="E389" s="222"/>
      <c r="F389" s="285" t="s">
        <v>354</v>
      </c>
      <c r="G389" s="261"/>
      <c r="H389" s="222"/>
      <c r="I389" s="222"/>
      <c r="J389" s="149" t="s">
        <v>302</v>
      </c>
      <c r="K389" s="168"/>
      <c r="M389" s="168"/>
      <c r="O389" s="168"/>
      <c r="P389" s="168"/>
      <c r="Q389" s="168"/>
      <c r="S389" s="168"/>
      <c r="T389" s="168"/>
      <c r="U389" s="168"/>
      <c r="V389" s="168"/>
      <c r="W389" s="168">
        <f>+'Ftr 3 &amp; 6'!I80</f>
        <v>0.88229999999999997</v>
      </c>
      <c r="X389" s="168"/>
      <c r="Y389" s="168">
        <f>+'Ftr 3 &amp; 6'!I81</f>
        <v>0.1177</v>
      </c>
      <c r="Z389" s="168"/>
      <c r="AA389" s="168">
        <v>0</v>
      </c>
      <c r="AB389" s="168"/>
      <c r="AC389" s="168">
        <v>0</v>
      </c>
      <c r="AD389" s="168"/>
      <c r="AE389" s="168">
        <v>0</v>
      </c>
      <c r="AF389" s="168"/>
      <c r="AG389" s="168">
        <v>0</v>
      </c>
      <c r="AI389" s="168">
        <f>SUM(K389:AG389)</f>
        <v>1</v>
      </c>
      <c r="AJ389" s="47" t="str">
        <f t="shared" si="332"/>
        <v>0k</v>
      </c>
      <c r="AK389" s="466" t="s">
        <v>302</v>
      </c>
    </row>
    <row r="390" spans="2:37">
      <c r="E390" s="222"/>
      <c r="F390" s="285" t="s">
        <v>338</v>
      </c>
      <c r="G390" s="261"/>
      <c r="H390" s="222"/>
      <c r="I390" s="222"/>
      <c r="J390" s="149" t="s">
        <v>326</v>
      </c>
      <c r="K390" s="168"/>
      <c r="M390" s="168"/>
      <c r="O390" s="168"/>
      <c r="P390" s="168"/>
      <c r="Q390" s="168"/>
      <c r="S390" s="168"/>
      <c r="T390" s="168"/>
      <c r="U390" s="168"/>
      <c r="V390" s="168"/>
      <c r="W390" s="168"/>
      <c r="X390" s="168"/>
      <c r="Y390" s="168"/>
      <c r="Z390" s="168"/>
      <c r="AA390" s="168">
        <f>+'Ftr 3 &amp; 6'!$I$102</f>
        <v>0.47239999999999999</v>
      </c>
      <c r="AB390" s="168"/>
      <c r="AC390" s="168">
        <f>+'Ftr 3 &amp; 6'!I103</f>
        <v>0.28910000000000002</v>
      </c>
      <c r="AD390" s="168"/>
      <c r="AE390" s="168">
        <f>+'Ftr 3 &amp; 6'!I104</f>
        <v>5.9700000000000003E-2</v>
      </c>
      <c r="AF390" s="168"/>
      <c r="AG390" s="168">
        <f>+'Ftr 3 &amp; 6'!I105</f>
        <v>0.17879999999999999</v>
      </c>
      <c r="AI390" s="168">
        <f>SUM(K390:AG390)</f>
        <v>1</v>
      </c>
      <c r="AJ390" s="47" t="str">
        <f t="shared" si="332"/>
        <v>0k</v>
      </c>
      <c r="AK390" s="466" t="s">
        <v>326</v>
      </c>
    </row>
    <row r="391" spans="2:37">
      <c r="E391" s="222"/>
      <c r="F391" s="285" t="s">
        <v>161</v>
      </c>
      <c r="G391" s="261"/>
      <c r="H391" s="222"/>
      <c r="I391" s="222"/>
      <c r="J391" s="149" t="s">
        <v>398</v>
      </c>
      <c r="K391" s="168"/>
      <c r="M391" s="168"/>
      <c r="O391" s="168"/>
      <c r="P391" s="168"/>
      <c r="Q391" s="168"/>
      <c r="S391" s="168"/>
      <c r="T391" s="168"/>
      <c r="U391" s="168"/>
      <c r="V391" s="168"/>
      <c r="W391" s="168">
        <f>+'Ftr 3 &amp; 6'!I118</f>
        <v>0.87160000000000004</v>
      </c>
      <c r="X391" s="168"/>
      <c r="Y391" s="168">
        <f>+'Ftr 3 &amp; 6'!I119</f>
        <v>0.1164</v>
      </c>
      <c r="Z391" s="168"/>
      <c r="AA391" s="168">
        <f>+'Ftr 3 &amp; 6'!I120</f>
        <v>4.8999999999999998E-3</v>
      </c>
      <c r="AB391" s="168"/>
      <c r="AC391" s="168">
        <f>+'Ftr 3 &amp; 6'!I121</f>
        <v>5.1999999999999998E-3</v>
      </c>
      <c r="AD391" s="168"/>
      <c r="AE391" s="168">
        <f>+'Ftr 3 &amp; 6'!I122</f>
        <v>4.0000000000000002E-4</v>
      </c>
      <c r="AF391" s="168"/>
      <c r="AG391" s="168">
        <f>+'Ftr 3 &amp; 6'!I123</f>
        <v>1.5E-3</v>
      </c>
      <c r="AI391" s="168">
        <f>SUM(K391:AG391)</f>
        <v>0.99999999999999989</v>
      </c>
      <c r="AJ391" s="47" t="str">
        <f t="shared" si="332"/>
        <v>0k</v>
      </c>
      <c r="AK391" s="466" t="s">
        <v>398</v>
      </c>
    </row>
    <row r="392" spans="2:37">
      <c r="E392" s="222"/>
      <c r="F392" s="285" t="s">
        <v>339</v>
      </c>
      <c r="G392" s="261"/>
      <c r="H392" s="222"/>
      <c r="I392" s="222"/>
      <c r="J392" s="149">
        <v>7</v>
      </c>
      <c r="K392" s="168"/>
      <c r="M392" s="168"/>
      <c r="O392" s="168"/>
      <c r="P392" s="168"/>
      <c r="Q392" s="168"/>
      <c r="S392" s="168"/>
      <c r="T392" s="168"/>
      <c r="U392" s="168"/>
      <c r="V392" s="168"/>
      <c r="W392" s="168">
        <f>+'Ft 7to9'!I17</f>
        <v>0.89349999999999996</v>
      </c>
      <c r="X392" s="168"/>
      <c r="Y392" s="168">
        <f>+'Ft 7to9'!I18</f>
        <v>0.1028</v>
      </c>
      <c r="Z392" s="168"/>
      <c r="AA392" s="168">
        <f>+'Ft 7to9'!I19</f>
        <v>2.3E-3</v>
      </c>
      <c r="AB392" s="168"/>
      <c r="AC392" s="168">
        <f>+'Ft 7to9'!I20</f>
        <v>6.9999999999999999E-4</v>
      </c>
      <c r="AD392" s="168"/>
      <c r="AE392" s="168">
        <f>+'Ft 7to9'!I21</f>
        <v>1E-4</v>
      </c>
      <c r="AF392" s="168"/>
      <c r="AG392" s="168">
        <f>+'Ft 7to9'!I22</f>
        <v>5.9999999999999995E-4</v>
      </c>
      <c r="AI392" s="168">
        <f>SUM(K392:AG392)</f>
        <v>1</v>
      </c>
      <c r="AJ392" s="47" t="str">
        <f t="shared" si="332"/>
        <v>0k</v>
      </c>
      <c r="AK392" s="466">
        <v>7</v>
      </c>
    </row>
    <row r="393" spans="2:37">
      <c r="E393" s="222"/>
      <c r="F393" s="285" t="s">
        <v>340</v>
      </c>
      <c r="G393" s="261"/>
      <c r="H393" s="222"/>
      <c r="I393" s="222"/>
      <c r="J393" s="149" t="s">
        <v>330</v>
      </c>
      <c r="K393" s="168"/>
      <c r="M393" s="168"/>
      <c r="O393" s="168"/>
      <c r="P393" s="168"/>
      <c r="Q393" s="168"/>
      <c r="S393" s="168"/>
      <c r="T393" s="168"/>
      <c r="U393" s="168"/>
      <c r="V393" s="168"/>
      <c r="W393" s="168">
        <f>+'Ft 7to9'!M17</f>
        <v>0</v>
      </c>
      <c r="X393" s="168"/>
      <c r="Y393" s="168">
        <f>+'Ft 7to9'!M18</f>
        <v>0</v>
      </c>
      <c r="Z393" s="168"/>
      <c r="AA393" s="168">
        <f>+'Ft 7to9'!M19</f>
        <v>0</v>
      </c>
      <c r="AB393" s="168"/>
      <c r="AC393" s="168">
        <f>+'Ft 7to9'!M20</f>
        <v>0</v>
      </c>
      <c r="AD393" s="168"/>
      <c r="AE393" s="168">
        <f>+'Ft 7to9'!M21</f>
        <v>0</v>
      </c>
      <c r="AF393" s="168"/>
      <c r="AG393" s="168">
        <f>+'Ft 7to9'!M22</f>
        <v>0</v>
      </c>
      <c r="AI393" s="168"/>
      <c r="AJ393" s="47"/>
      <c r="AK393" s="466" t="s">
        <v>330</v>
      </c>
    </row>
    <row r="394" spans="2:37">
      <c r="E394" s="222"/>
      <c r="F394" s="285" t="s">
        <v>341</v>
      </c>
      <c r="G394" s="261"/>
      <c r="H394" s="222"/>
      <c r="I394" s="222"/>
      <c r="J394" s="149">
        <v>8</v>
      </c>
      <c r="K394" s="168">
        <v>0</v>
      </c>
      <c r="L394" s="168"/>
      <c r="M394" s="168">
        <v>0</v>
      </c>
      <c r="N394" s="168"/>
      <c r="O394" s="168">
        <v>0</v>
      </c>
      <c r="P394" s="168"/>
      <c r="Q394" s="168"/>
      <c r="R394" s="168"/>
      <c r="S394" s="168">
        <v>0</v>
      </c>
      <c r="T394" s="168"/>
      <c r="U394" s="168"/>
      <c r="V394" s="168"/>
      <c r="W394" s="168">
        <f>+'Ft 7to9'!I36</f>
        <v>0.89680000000000004</v>
      </c>
      <c r="X394" s="168"/>
      <c r="Y394" s="168">
        <f>+'Ft 7to9'!I37</f>
        <v>0.1032</v>
      </c>
      <c r="Z394" s="168"/>
      <c r="AA394" s="168"/>
      <c r="AB394" s="168"/>
      <c r="AC394" s="168"/>
      <c r="AD394" s="168"/>
      <c r="AE394" s="168"/>
      <c r="AF394" s="168"/>
      <c r="AG394" s="168"/>
      <c r="AI394" s="168">
        <f>SUM(K394:AG394)</f>
        <v>1</v>
      </c>
      <c r="AJ394" s="47" t="str">
        <f t="shared" si="332"/>
        <v>0k</v>
      </c>
      <c r="AK394" s="466">
        <v>8</v>
      </c>
    </row>
    <row r="395" spans="2:37">
      <c r="E395" s="222"/>
      <c r="F395" s="285" t="s">
        <v>342</v>
      </c>
      <c r="G395" s="261"/>
      <c r="H395" s="222"/>
      <c r="I395" s="222"/>
      <c r="J395" s="149">
        <v>9</v>
      </c>
      <c r="K395" s="168">
        <v>0</v>
      </c>
      <c r="L395" s="168"/>
      <c r="M395" s="168">
        <v>0</v>
      </c>
      <c r="N395" s="168"/>
      <c r="O395" s="168">
        <v>0</v>
      </c>
      <c r="P395" s="168"/>
      <c r="Q395" s="168"/>
      <c r="R395" s="168"/>
      <c r="S395" s="168">
        <v>0</v>
      </c>
      <c r="T395" s="168"/>
      <c r="U395" s="168"/>
      <c r="V395" s="168"/>
      <c r="W395" s="168">
        <v>1</v>
      </c>
      <c r="X395" s="168"/>
      <c r="Y395" s="168"/>
      <c r="Z395" s="168"/>
      <c r="AA395" s="168"/>
      <c r="AB395" s="168"/>
      <c r="AC395" s="168"/>
      <c r="AD395" s="168"/>
      <c r="AE395" s="168"/>
      <c r="AF395" s="168"/>
      <c r="AG395" s="168"/>
      <c r="AI395" s="168">
        <f>SUM(K395:AG395)</f>
        <v>1</v>
      </c>
      <c r="AJ395" s="47" t="str">
        <f t="shared" si="332"/>
        <v>0k</v>
      </c>
      <c r="AK395" s="466">
        <v>9</v>
      </c>
    </row>
    <row r="396" spans="2:37">
      <c r="E396" s="222"/>
      <c r="F396" s="285"/>
      <c r="G396" s="261"/>
      <c r="H396" s="222"/>
      <c r="I396" s="222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I396" s="168"/>
      <c r="AJ396" s="47"/>
      <c r="AK396" s="466"/>
    </row>
    <row r="397" spans="2:37">
      <c r="E397" s="222"/>
      <c r="F397" s="285" t="s">
        <v>343</v>
      </c>
      <c r="G397" s="261"/>
      <c r="H397" s="222"/>
      <c r="I397" s="222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I397" s="168"/>
      <c r="AJ397" s="47"/>
      <c r="AK397" s="466"/>
    </row>
    <row r="398" spans="2:37">
      <c r="E398" s="222"/>
      <c r="F398" s="222"/>
      <c r="G398" s="261"/>
      <c r="H398" s="222"/>
      <c r="I398" s="285" t="s">
        <v>399</v>
      </c>
      <c r="K398" s="155">
        <f>SUM(K63:K74)</f>
        <v>7237254</v>
      </c>
      <c r="M398" s="155">
        <f>SUM(M63:M74)</f>
        <v>3993720</v>
      </c>
      <c r="O398" s="155">
        <f>SUM(O63:O74)</f>
        <v>1084912</v>
      </c>
      <c r="Q398" s="155">
        <f>SUM(Q63:Q74)</f>
        <v>1073494</v>
      </c>
      <c r="S398" s="155">
        <f>SUM(S63:S74)</f>
        <v>2302595</v>
      </c>
      <c r="T398" s="155"/>
      <c r="U398" s="155">
        <f>SUM(U63:U74)</f>
        <v>750406</v>
      </c>
      <c r="W398" s="155">
        <f>SUM(W63:W74)</f>
        <v>11798314</v>
      </c>
      <c r="Y398" s="155">
        <f>SUM(Y63:Y74)</f>
        <v>3956371</v>
      </c>
      <c r="AA398" s="155">
        <f>SUM(AA63:AA74)</f>
        <v>752784</v>
      </c>
      <c r="AC398" s="155">
        <f>SUM(AC63:AC74)</f>
        <v>483135</v>
      </c>
      <c r="AE398" s="155">
        <f>SUM(AE63:AE74)</f>
        <v>93112</v>
      </c>
      <c r="AG398" s="155">
        <f>SUM(AG63:AG74)</f>
        <v>280925</v>
      </c>
      <c r="AI398" s="155">
        <f t="shared" ref="AI398:AI411" si="337">SUM(K398:AG398)</f>
        <v>33807022</v>
      </c>
      <c r="AJ398" s="47"/>
      <c r="AK398" s="466"/>
    </row>
    <row r="399" spans="2:37">
      <c r="B399" s="168"/>
      <c r="E399" s="222"/>
      <c r="F399" s="222"/>
      <c r="G399" s="261"/>
      <c r="H399" s="222"/>
      <c r="I399" s="285"/>
      <c r="J399" s="149">
        <v>10</v>
      </c>
      <c r="K399" s="168">
        <f>ROUND(K398/$AI398,4)</f>
        <v>0.21410000000000001</v>
      </c>
      <c r="L399" s="168"/>
      <c r="M399" s="168">
        <f>ROUND(M398/$AI398,4)</f>
        <v>0.1181</v>
      </c>
      <c r="N399" s="168"/>
      <c r="O399" s="168">
        <f>ROUND(O398/$AI398,4)</f>
        <v>3.2099999999999997E-2</v>
      </c>
      <c r="P399" s="168"/>
      <c r="Q399" s="168">
        <f>ROUND(Q398/$AI398,4)</f>
        <v>3.1800000000000002E-2</v>
      </c>
      <c r="R399" s="168"/>
      <c r="S399" s="168">
        <f>ROUND(S398/$AI398,4)</f>
        <v>6.8099999999999994E-2</v>
      </c>
      <c r="T399" s="168"/>
      <c r="U399" s="168">
        <f>ROUND(U398/$AI398,4)</f>
        <v>2.2200000000000001E-2</v>
      </c>
      <c r="V399" s="168"/>
      <c r="W399" s="168">
        <f>ROUND(W398/$AI398,4)-0.0001</f>
        <v>0.34889999999999999</v>
      </c>
      <c r="X399" s="168"/>
      <c r="Y399" s="168">
        <f>ROUND(Y398/$AI398,4)</f>
        <v>0.11700000000000001</v>
      </c>
      <c r="Z399" s="168"/>
      <c r="AA399" s="168">
        <f>ROUND(AA398/$AI398,4)</f>
        <v>2.23E-2</v>
      </c>
      <c r="AB399" s="168"/>
      <c r="AC399" s="168">
        <f>ROUND(AC398/$AI398,4)</f>
        <v>1.43E-2</v>
      </c>
      <c r="AD399" s="168"/>
      <c r="AE399" s="168">
        <f>ROUND(AE398/$AI398,4)</f>
        <v>2.8E-3</v>
      </c>
      <c r="AF399" s="168"/>
      <c r="AG399" s="168">
        <f>ROUND(AG398/$AI398,4)</f>
        <v>8.3000000000000001E-3</v>
      </c>
      <c r="AI399" s="168">
        <f t="shared" si="337"/>
        <v>0.99999999999999989</v>
      </c>
      <c r="AJ399" s="47" t="str">
        <f t="shared" si="332"/>
        <v>0k</v>
      </c>
      <c r="AK399" s="466">
        <v>10</v>
      </c>
    </row>
    <row r="400" spans="2:37">
      <c r="B400" s="168"/>
      <c r="E400" s="222"/>
      <c r="F400" s="222"/>
      <c r="G400" s="261"/>
      <c r="H400" s="222"/>
      <c r="I400" s="285" t="s">
        <v>256</v>
      </c>
      <c r="K400" s="165">
        <f t="shared" ref="K400:AG400" si="338">+SUM(K81:K89)</f>
        <v>8997587</v>
      </c>
      <c r="L400" s="165">
        <f t="shared" si="338"/>
        <v>0</v>
      </c>
      <c r="M400" s="165">
        <f t="shared" si="338"/>
        <v>4963805</v>
      </c>
      <c r="N400" s="165">
        <f t="shared" si="338"/>
        <v>0</v>
      </c>
      <c r="O400" s="165">
        <f t="shared" si="338"/>
        <v>1346871</v>
      </c>
      <c r="P400" s="165">
        <f t="shared" si="338"/>
        <v>0</v>
      </c>
      <c r="Q400" s="165">
        <f t="shared" si="338"/>
        <v>1327560</v>
      </c>
      <c r="R400" s="165">
        <f t="shared" si="338"/>
        <v>0</v>
      </c>
      <c r="S400" s="165">
        <f t="shared" si="338"/>
        <v>1755549</v>
      </c>
      <c r="T400" s="165">
        <f t="shared" si="338"/>
        <v>0</v>
      </c>
      <c r="U400" s="165">
        <f t="shared" si="338"/>
        <v>701246</v>
      </c>
      <c r="V400" s="165">
        <f t="shared" si="338"/>
        <v>0</v>
      </c>
      <c r="W400" s="165">
        <f t="shared" si="338"/>
        <v>5219194</v>
      </c>
      <c r="X400" s="165">
        <f t="shared" si="338"/>
        <v>0</v>
      </c>
      <c r="Y400" s="165">
        <f t="shared" si="338"/>
        <v>1495047</v>
      </c>
      <c r="Z400" s="165">
        <f t="shared" si="338"/>
        <v>0</v>
      </c>
      <c r="AA400" s="165">
        <f t="shared" si="338"/>
        <v>430921</v>
      </c>
      <c r="AB400" s="165">
        <f t="shared" si="338"/>
        <v>0</v>
      </c>
      <c r="AC400" s="165">
        <f t="shared" si="338"/>
        <v>274432</v>
      </c>
      <c r="AD400" s="165">
        <f t="shared" si="338"/>
        <v>0</v>
      </c>
      <c r="AE400" s="165">
        <f t="shared" si="338"/>
        <v>53463</v>
      </c>
      <c r="AF400" s="165">
        <f t="shared" si="338"/>
        <v>0</v>
      </c>
      <c r="AG400" s="165">
        <f t="shared" si="338"/>
        <v>161246</v>
      </c>
      <c r="AI400" s="155">
        <f t="shared" si="337"/>
        <v>26726921</v>
      </c>
      <c r="AJ400" s="47"/>
      <c r="AK400" s="466"/>
    </row>
    <row r="401" spans="2:37">
      <c r="B401" s="168"/>
      <c r="E401" s="222"/>
      <c r="F401" s="222"/>
      <c r="G401" s="261"/>
      <c r="H401" s="222"/>
      <c r="I401" s="285"/>
      <c r="J401" s="149">
        <v>11</v>
      </c>
      <c r="K401" s="168">
        <f>ROUND(K400/$AI400,4)</f>
        <v>0.33660000000000001</v>
      </c>
      <c r="L401" s="168"/>
      <c r="M401" s="168">
        <f>ROUND(M400/$AI400,4)</f>
        <v>0.1857</v>
      </c>
      <c r="N401" s="168"/>
      <c r="O401" s="168">
        <f>ROUND(O400/$AI400,4)</f>
        <v>5.04E-2</v>
      </c>
      <c r="P401" s="168"/>
      <c r="Q401" s="168">
        <f>ROUND(Q400/$AI400,4)</f>
        <v>4.9700000000000001E-2</v>
      </c>
      <c r="R401" s="168"/>
      <c r="S401" s="168">
        <f>ROUND(S400/$AI400,4)</f>
        <v>6.5699999999999995E-2</v>
      </c>
      <c r="T401" s="168"/>
      <c r="U401" s="168">
        <f>ROUND(U400/$AI400,4)</f>
        <v>2.6200000000000001E-2</v>
      </c>
      <c r="V401" s="168"/>
      <c r="W401" s="168">
        <f>ROUND(W400/$AI400,4)+0.0001</f>
        <v>0.19539999999999999</v>
      </c>
      <c r="X401" s="168"/>
      <c r="Y401" s="168">
        <f>ROUND(Y400/$AI400,4)</f>
        <v>5.5899999999999998E-2</v>
      </c>
      <c r="Z401" s="168"/>
      <c r="AA401" s="168">
        <f>ROUND(AA400/$AI400,4)</f>
        <v>1.61E-2</v>
      </c>
      <c r="AB401" s="168"/>
      <c r="AC401" s="168">
        <f>ROUND(AC400/$AI400,4)</f>
        <v>1.03E-2</v>
      </c>
      <c r="AD401" s="168"/>
      <c r="AE401" s="168">
        <f>ROUND(AE400/$AI400,4)</f>
        <v>2E-3</v>
      </c>
      <c r="AF401" s="168"/>
      <c r="AG401" s="168">
        <f>ROUND(AG400/$AI400,4)</f>
        <v>6.0000000000000001E-3</v>
      </c>
      <c r="AI401" s="168">
        <f t="shared" si="337"/>
        <v>0.99999999999999989</v>
      </c>
      <c r="AJ401" s="47" t="str">
        <f t="shared" si="332"/>
        <v>0k</v>
      </c>
      <c r="AK401" s="466">
        <v>11</v>
      </c>
    </row>
    <row r="402" spans="2:37">
      <c r="B402" s="168"/>
      <c r="E402" s="222"/>
      <c r="F402" s="222"/>
      <c r="G402" s="261"/>
      <c r="H402" s="222"/>
      <c r="I402" s="285" t="s">
        <v>257</v>
      </c>
      <c r="K402" s="155">
        <f t="shared" ref="K402:AG402" si="339">+K94+K105+K115+K125+K57+K51</f>
        <v>38686683.987339482</v>
      </c>
      <c r="L402" s="155">
        <f t="shared" si="339"/>
        <v>0</v>
      </c>
      <c r="M402" s="155">
        <f t="shared" si="339"/>
        <v>12946267.228214499</v>
      </c>
      <c r="N402" s="155">
        <f t="shared" si="339"/>
        <v>0</v>
      </c>
      <c r="O402" s="155">
        <f t="shared" si="339"/>
        <v>3024272.2038211753</v>
      </c>
      <c r="P402" s="155">
        <f t="shared" si="339"/>
        <v>0</v>
      </c>
      <c r="Q402" s="155">
        <f t="shared" si="339"/>
        <v>2998149.1852987455</v>
      </c>
      <c r="R402" s="155">
        <f t="shared" si="339"/>
        <v>0</v>
      </c>
      <c r="S402" s="155">
        <f t="shared" si="339"/>
        <v>5180754</v>
      </c>
      <c r="T402" s="155">
        <f t="shared" si="339"/>
        <v>0</v>
      </c>
      <c r="U402" s="155">
        <f t="shared" si="339"/>
        <v>1832130</v>
      </c>
      <c r="V402" s="155">
        <f t="shared" si="339"/>
        <v>0</v>
      </c>
      <c r="W402" s="155">
        <f t="shared" si="339"/>
        <v>52847866.655042812</v>
      </c>
      <c r="X402" s="155">
        <f t="shared" si="339"/>
        <v>0</v>
      </c>
      <c r="Y402" s="155">
        <f t="shared" si="339"/>
        <v>10034761.731565012</v>
      </c>
      <c r="Z402" s="155">
        <f t="shared" si="339"/>
        <v>0</v>
      </c>
      <c r="AA402" s="155">
        <f t="shared" si="339"/>
        <v>1591993</v>
      </c>
      <c r="AB402" s="155">
        <f t="shared" si="339"/>
        <v>0</v>
      </c>
      <c r="AC402" s="155">
        <f t="shared" si="339"/>
        <v>1070663</v>
      </c>
      <c r="AD402" s="155">
        <f t="shared" si="339"/>
        <v>0</v>
      </c>
      <c r="AE402" s="155">
        <f t="shared" si="339"/>
        <v>216242</v>
      </c>
      <c r="AF402" s="155">
        <f t="shared" si="339"/>
        <v>0</v>
      </c>
      <c r="AG402" s="155">
        <f t="shared" si="339"/>
        <v>585964</v>
      </c>
      <c r="AI402" s="155">
        <f t="shared" si="337"/>
        <v>131015746.99128173</v>
      </c>
      <c r="AJ402" s="47"/>
      <c r="AK402" s="466"/>
    </row>
    <row r="403" spans="2:37">
      <c r="B403" s="168"/>
      <c r="E403" s="222"/>
      <c r="F403" s="222"/>
      <c r="G403" s="261"/>
      <c r="H403" s="222"/>
      <c r="I403" s="222"/>
      <c r="J403" s="149">
        <v>12</v>
      </c>
      <c r="K403" s="190">
        <f>ROUND(K402/$AI402,4)</f>
        <v>0.29530000000000001</v>
      </c>
      <c r="L403" s="168"/>
      <c r="M403" s="168">
        <f>ROUND(M402/$AI402,4)</f>
        <v>9.8799999999999999E-2</v>
      </c>
      <c r="N403" s="168"/>
      <c r="O403" s="168">
        <f>ROUND(O402/$AI402,4)</f>
        <v>2.3099999999999999E-2</v>
      </c>
      <c r="P403" s="168"/>
      <c r="Q403" s="168">
        <f>ROUND(Q402/$AI402,4)</f>
        <v>2.29E-2</v>
      </c>
      <c r="R403" s="168"/>
      <c r="S403" s="168">
        <f>ROUND(S402/$AI402,4)</f>
        <v>3.95E-2</v>
      </c>
      <c r="T403" s="168"/>
      <c r="U403" s="168">
        <f>ROUND(U402/$AI402,4)</f>
        <v>1.4E-2</v>
      </c>
      <c r="V403" s="168"/>
      <c r="W403" s="168">
        <f>ROUND(W402/$AI402,4)-0.0002</f>
        <v>0.4032</v>
      </c>
      <c r="X403" s="168"/>
      <c r="Y403" s="168">
        <f>ROUND(Y402/$AI402,4)</f>
        <v>7.6600000000000001E-2</v>
      </c>
      <c r="Z403" s="168"/>
      <c r="AA403" s="168">
        <f>ROUND(AA402/$AI402,4)</f>
        <v>1.2200000000000001E-2</v>
      </c>
      <c r="AB403" s="168"/>
      <c r="AC403" s="168">
        <f>ROUND(AC402/$AI402,4)</f>
        <v>8.2000000000000007E-3</v>
      </c>
      <c r="AD403" s="168"/>
      <c r="AE403" s="168">
        <f>ROUND(AE402/$AI402,4)</f>
        <v>1.6999999999999999E-3</v>
      </c>
      <c r="AF403" s="168"/>
      <c r="AG403" s="168">
        <f>ROUND(AG402/$AI402,4)</f>
        <v>4.4999999999999997E-3</v>
      </c>
      <c r="AI403" s="168">
        <f t="shared" si="337"/>
        <v>1</v>
      </c>
      <c r="AJ403" s="47" t="str">
        <f t="shared" si="332"/>
        <v>0k</v>
      </c>
      <c r="AK403" s="466">
        <v>12</v>
      </c>
    </row>
    <row r="404" spans="2:37">
      <c r="B404" s="168"/>
      <c r="E404" s="222"/>
      <c r="F404" s="222"/>
      <c r="G404" s="261"/>
      <c r="H404" s="222"/>
      <c r="I404" s="285" t="s">
        <v>260</v>
      </c>
      <c r="K404" s="155">
        <f>+K475</f>
        <v>15136178</v>
      </c>
      <c r="L404" s="168"/>
      <c r="M404" s="155">
        <f>+M475</f>
        <v>6837929</v>
      </c>
      <c r="N404" s="155"/>
      <c r="O404" s="155">
        <f>+O475</f>
        <v>1762416</v>
      </c>
      <c r="P404" s="155"/>
      <c r="Q404" s="155">
        <f>+Q475</f>
        <v>1744401</v>
      </c>
      <c r="R404" s="155"/>
      <c r="S404" s="155">
        <f>+S475</f>
        <v>3321191</v>
      </c>
      <c r="T404" s="155"/>
      <c r="U404" s="155">
        <f>+U475</f>
        <v>1131662</v>
      </c>
      <c r="V404" s="168"/>
      <c r="W404" s="147">
        <f>+W475</f>
        <v>36624097</v>
      </c>
      <c r="X404" s="155"/>
      <c r="Y404" s="155">
        <f>+Y475</f>
        <v>7939416</v>
      </c>
      <c r="Z404" s="155"/>
      <c r="AA404" s="155">
        <f>+AA475</f>
        <v>1313972</v>
      </c>
      <c r="AB404" s="155"/>
      <c r="AC404" s="155">
        <f>+AC475</f>
        <v>827920</v>
      </c>
      <c r="AD404" s="155"/>
      <c r="AE404" s="155">
        <f>+AE475</f>
        <v>165602</v>
      </c>
      <c r="AF404" s="155"/>
      <c r="AG404" s="155">
        <f>+AG475</f>
        <v>486563</v>
      </c>
      <c r="AH404" s="155"/>
      <c r="AI404" s="155">
        <f t="shared" si="337"/>
        <v>77291347</v>
      </c>
      <c r="AJ404" s="47"/>
      <c r="AK404" s="466"/>
    </row>
    <row r="405" spans="2:37">
      <c r="B405" s="168"/>
      <c r="E405" s="222"/>
      <c r="F405" s="222"/>
      <c r="G405" s="261"/>
      <c r="H405" s="222"/>
      <c r="I405" s="222"/>
      <c r="J405" s="149">
        <v>13</v>
      </c>
      <c r="K405" s="168">
        <f>ROUND(K404/$AI404,4)</f>
        <v>0.1958</v>
      </c>
      <c r="L405" s="168"/>
      <c r="M405" s="168">
        <f>ROUND(M404/$AI404,4)</f>
        <v>8.8499999999999995E-2</v>
      </c>
      <c r="N405" s="168"/>
      <c r="O405" s="168">
        <f>ROUND(O404/$AI404,4)</f>
        <v>2.2800000000000001E-2</v>
      </c>
      <c r="P405" s="168"/>
      <c r="Q405" s="168">
        <f>ROUND(Q404/$AI404,4)</f>
        <v>2.2599999999999999E-2</v>
      </c>
      <c r="R405" s="168"/>
      <c r="S405" s="168">
        <f>ROUND(S404/$AI404,4)</f>
        <v>4.2999999999999997E-2</v>
      </c>
      <c r="T405" s="168"/>
      <c r="U405" s="168">
        <f>ROUND(U404/$AI404,4)</f>
        <v>1.46E-2</v>
      </c>
      <c r="V405" s="168"/>
      <c r="W405" s="168">
        <f>ROUND(W404/$AI404,4)+0.0001</f>
        <v>0.47389999999999999</v>
      </c>
      <c r="X405" s="168"/>
      <c r="Y405" s="168">
        <f>ROUND(Y404/$AI404,4)</f>
        <v>0.1027</v>
      </c>
      <c r="Z405" s="168"/>
      <c r="AA405" s="168">
        <f>ROUND(AA404/$AI404,4)</f>
        <v>1.7000000000000001E-2</v>
      </c>
      <c r="AB405" s="168"/>
      <c r="AC405" s="168">
        <f>ROUND(AC404/$AI404,4)</f>
        <v>1.0699999999999999E-2</v>
      </c>
      <c r="AD405" s="168"/>
      <c r="AE405" s="168">
        <f>ROUND(AE404/$AI404,4)</f>
        <v>2.0999999999999999E-3</v>
      </c>
      <c r="AF405" s="168"/>
      <c r="AG405" s="168">
        <f>ROUND(AG404/$AI404,4)</f>
        <v>6.3E-3</v>
      </c>
      <c r="AI405" s="168">
        <f t="shared" si="337"/>
        <v>1</v>
      </c>
      <c r="AJ405" s="47" t="str">
        <f t="shared" si="332"/>
        <v>0k</v>
      </c>
      <c r="AK405" s="466">
        <v>13</v>
      </c>
    </row>
    <row r="406" spans="2:37">
      <c r="B406" s="168"/>
      <c r="E406" s="222"/>
      <c r="F406" s="222"/>
      <c r="G406" s="261"/>
      <c r="H406" s="222"/>
      <c r="I406" s="285" t="s">
        <v>261</v>
      </c>
      <c r="K406" s="155">
        <f>+K334+SUM(K363+K364)+K365+K366+K368+SUM(K338:K341)+K348</f>
        <v>915038405</v>
      </c>
      <c r="L406" s="155">
        <f t="shared" ref="L406:AG406" si="340">+L334+SUM(L363+L364)+L365+L366+L368+SUM(L338:L341)+L348</f>
        <v>0</v>
      </c>
      <c r="M406" s="155">
        <f t="shared" si="340"/>
        <v>484248083</v>
      </c>
      <c r="N406" s="155">
        <f t="shared" si="340"/>
        <v>0</v>
      </c>
      <c r="O406" s="155">
        <f t="shared" si="340"/>
        <v>126311022</v>
      </c>
      <c r="P406" s="155">
        <f t="shared" si="340"/>
        <v>0</v>
      </c>
      <c r="Q406" s="155">
        <f t="shared" si="340"/>
        <v>124273091</v>
      </c>
      <c r="R406" s="155">
        <f t="shared" si="340"/>
        <v>0</v>
      </c>
      <c r="S406" s="155">
        <f t="shared" si="340"/>
        <v>107676115</v>
      </c>
      <c r="T406" s="155">
        <f t="shared" si="340"/>
        <v>0</v>
      </c>
      <c r="U406" s="155">
        <f t="shared" si="340"/>
        <v>53493766</v>
      </c>
      <c r="V406" s="155">
        <f t="shared" si="340"/>
        <v>0</v>
      </c>
      <c r="W406" s="155">
        <f t="shared" si="340"/>
        <v>902873985</v>
      </c>
      <c r="X406" s="155">
        <f t="shared" si="340"/>
        <v>0</v>
      </c>
      <c r="Y406" s="155">
        <f t="shared" si="340"/>
        <v>183836771</v>
      </c>
      <c r="Z406" s="155">
        <f t="shared" si="340"/>
        <v>0</v>
      </c>
      <c r="AA406" s="155">
        <f t="shared" si="340"/>
        <v>17969967</v>
      </c>
      <c r="AB406" s="155">
        <f t="shared" si="340"/>
        <v>0</v>
      </c>
      <c r="AC406" s="155">
        <f t="shared" si="340"/>
        <v>12855240</v>
      </c>
      <c r="AD406" s="155">
        <f t="shared" si="340"/>
        <v>0</v>
      </c>
      <c r="AE406" s="155">
        <f t="shared" si="340"/>
        <v>2147340</v>
      </c>
      <c r="AF406" s="155">
        <f t="shared" si="340"/>
        <v>0</v>
      </c>
      <c r="AG406" s="155">
        <f t="shared" si="340"/>
        <v>6472153</v>
      </c>
      <c r="AI406" s="155">
        <f t="shared" si="337"/>
        <v>2937195938</v>
      </c>
      <c r="AJ406" s="47"/>
      <c r="AK406" s="466"/>
    </row>
    <row r="407" spans="2:37">
      <c r="B407" s="168"/>
      <c r="E407" s="222"/>
      <c r="F407" s="222"/>
      <c r="G407" s="261"/>
      <c r="H407" s="222"/>
      <c r="I407" s="222"/>
      <c r="J407" s="149">
        <v>14</v>
      </c>
      <c r="K407" s="168">
        <f>ROUND(K406/$AI406,4)</f>
        <v>0.3115</v>
      </c>
      <c r="L407" s="168"/>
      <c r="M407" s="168">
        <f>ROUND(M406/$AI406,4)</f>
        <v>0.16489999999999999</v>
      </c>
      <c r="N407" s="168"/>
      <c r="O407" s="168">
        <f>ROUND(O406/$AI406,4)</f>
        <v>4.2999999999999997E-2</v>
      </c>
      <c r="P407" s="168"/>
      <c r="Q407" s="168">
        <f>ROUND(Q406/$AI406,4)</f>
        <v>4.2299999999999997E-2</v>
      </c>
      <c r="R407" s="168"/>
      <c r="S407" s="168">
        <f>ROUND(S406/$AI406,4)</f>
        <v>3.6700000000000003E-2</v>
      </c>
      <c r="T407" s="168"/>
      <c r="U407" s="168">
        <f>ROUND(U406/$AI406,4)</f>
        <v>1.8200000000000001E-2</v>
      </c>
      <c r="V407" s="168"/>
      <c r="W407" s="168">
        <f>ROUND(W406/$AI406,4)</f>
        <v>0.30740000000000001</v>
      </c>
      <c r="X407" s="168"/>
      <c r="Y407" s="168">
        <f>ROUND(Y406/$AI406,4)</f>
        <v>6.2600000000000003E-2</v>
      </c>
      <c r="Z407" s="168"/>
      <c r="AA407" s="168">
        <f>ROUND(AA406/$AI406,4)</f>
        <v>6.1000000000000004E-3</v>
      </c>
      <c r="AB407" s="168"/>
      <c r="AC407" s="168">
        <f>ROUND(AC406/$AI406,4)</f>
        <v>4.4000000000000003E-3</v>
      </c>
      <c r="AD407" s="168"/>
      <c r="AE407" s="168">
        <f>ROUND(AE406/$AI406,4)</f>
        <v>6.9999999999999999E-4</v>
      </c>
      <c r="AF407" s="168"/>
      <c r="AG407" s="168">
        <f>ROUND(AG406/$AI406,4)</f>
        <v>2.2000000000000001E-3</v>
      </c>
      <c r="AI407" s="168">
        <f t="shared" si="337"/>
        <v>0.99999999999999989</v>
      </c>
      <c r="AJ407" s="47" t="str">
        <f t="shared" si="332"/>
        <v>0k</v>
      </c>
      <c r="AK407" s="466">
        <v>14</v>
      </c>
    </row>
    <row r="408" spans="2:37">
      <c r="B408" s="168"/>
      <c r="E408" s="222"/>
      <c r="F408" s="222"/>
      <c r="G408" s="261"/>
      <c r="H408" s="222"/>
      <c r="I408" s="285" t="s">
        <v>269</v>
      </c>
      <c r="K408" s="147">
        <f>+K372</f>
        <v>736354649</v>
      </c>
      <c r="L408" s="147">
        <f t="shared" ref="L408:AG408" si="341">+L372</f>
        <v>0</v>
      </c>
      <c r="M408" s="147">
        <f t="shared" si="341"/>
        <v>389657548</v>
      </c>
      <c r="N408" s="147">
        <f t="shared" si="341"/>
        <v>0</v>
      </c>
      <c r="O408" s="147">
        <f t="shared" si="341"/>
        <v>101645207</v>
      </c>
      <c r="P408" s="147">
        <f t="shared" si="341"/>
        <v>0</v>
      </c>
      <c r="Q408" s="147">
        <f t="shared" si="341"/>
        <v>100008811</v>
      </c>
      <c r="R408" s="147">
        <f t="shared" si="341"/>
        <v>0</v>
      </c>
      <c r="S408" s="147">
        <f t="shared" si="341"/>
        <v>86624129</v>
      </c>
      <c r="T408" s="147">
        <f t="shared" si="341"/>
        <v>0</v>
      </c>
      <c r="U408" s="147">
        <f t="shared" si="341"/>
        <v>43053817</v>
      </c>
      <c r="V408" s="147">
        <f t="shared" si="341"/>
        <v>0</v>
      </c>
      <c r="W408" s="147">
        <f t="shared" si="341"/>
        <v>726542085</v>
      </c>
      <c r="X408" s="147">
        <f t="shared" si="341"/>
        <v>0</v>
      </c>
      <c r="Y408" s="147">
        <f t="shared" si="341"/>
        <v>147927932</v>
      </c>
      <c r="Z408" s="147">
        <f t="shared" si="341"/>
        <v>0</v>
      </c>
      <c r="AA408" s="147">
        <f t="shared" si="341"/>
        <v>14470863</v>
      </c>
      <c r="AB408" s="147">
        <f t="shared" si="341"/>
        <v>0</v>
      </c>
      <c r="AC408" s="147">
        <f t="shared" si="341"/>
        <v>10331295</v>
      </c>
      <c r="AD408" s="147">
        <f t="shared" si="341"/>
        <v>0</v>
      </c>
      <c r="AE408" s="147">
        <f t="shared" si="341"/>
        <v>1745805</v>
      </c>
      <c r="AF408" s="147">
        <f t="shared" si="341"/>
        <v>0</v>
      </c>
      <c r="AG408" s="147">
        <f t="shared" si="341"/>
        <v>5210182</v>
      </c>
      <c r="AI408" s="155">
        <f t="shared" si="337"/>
        <v>2363572323</v>
      </c>
      <c r="AJ408" s="47"/>
      <c r="AK408" s="466"/>
    </row>
    <row r="409" spans="2:37">
      <c r="B409" s="168"/>
      <c r="E409" s="222"/>
      <c r="F409" s="222"/>
      <c r="G409" s="261"/>
      <c r="H409" s="222"/>
      <c r="I409" s="222"/>
      <c r="J409" s="149">
        <v>15</v>
      </c>
      <c r="K409" s="168">
        <f>ROUND(K408/$AI408,4)</f>
        <v>0.3115</v>
      </c>
      <c r="L409" s="168"/>
      <c r="M409" s="168">
        <f>ROUND(M408/$AI408,4)</f>
        <v>0.16489999999999999</v>
      </c>
      <c r="N409" s="168"/>
      <c r="O409" s="168">
        <f>ROUND(O408/$AI408,4)</f>
        <v>4.2999999999999997E-2</v>
      </c>
      <c r="P409" s="168"/>
      <c r="Q409" s="168">
        <f>ROUND(Q408/$AI408,4)</f>
        <v>4.2299999999999997E-2</v>
      </c>
      <c r="R409" s="168"/>
      <c r="S409" s="168">
        <f>ROUND(S408/$AI408,4)</f>
        <v>3.6600000000000001E-2</v>
      </c>
      <c r="T409" s="168"/>
      <c r="U409" s="168">
        <f>ROUND(U408/$AI408,4)</f>
        <v>1.8200000000000001E-2</v>
      </c>
      <c r="V409" s="168"/>
      <c r="W409" s="168">
        <f>ROUND(W408/$AI408,4)+0.0001</f>
        <v>0.3075</v>
      </c>
      <c r="X409" s="168"/>
      <c r="Y409" s="168">
        <f>ROUND(Y408/$AI408,4)</f>
        <v>6.2600000000000003E-2</v>
      </c>
      <c r="Z409" s="168"/>
      <c r="AA409" s="168">
        <f>ROUND(AA408/$AI408,4)</f>
        <v>6.1000000000000004E-3</v>
      </c>
      <c r="AB409" s="168"/>
      <c r="AC409" s="168">
        <f>ROUND(AC408/$AI408,4)</f>
        <v>4.4000000000000003E-3</v>
      </c>
      <c r="AD409" s="168"/>
      <c r="AE409" s="168">
        <f>ROUND(AE408/$AI408,4)</f>
        <v>6.9999999999999999E-4</v>
      </c>
      <c r="AF409" s="168"/>
      <c r="AG409" s="168">
        <f>ROUND(AG408/$AI408,4)</f>
        <v>2.2000000000000001E-3</v>
      </c>
      <c r="AI409" s="168">
        <f t="shared" si="337"/>
        <v>0.99999999999999989</v>
      </c>
      <c r="AJ409" s="47" t="str">
        <f t="shared" si="332"/>
        <v>0k</v>
      </c>
      <c r="AK409" s="466">
        <v>15</v>
      </c>
    </row>
    <row r="410" spans="2:37">
      <c r="B410" s="168"/>
      <c r="E410" s="285"/>
      <c r="F410" s="222"/>
      <c r="G410" s="261"/>
      <c r="H410" s="222"/>
      <c r="I410" s="285" t="s">
        <v>270</v>
      </c>
      <c r="K410" s="155">
        <f t="shared" ref="K410:AG410" si="342">+K94+K105+K115+K125+SUM(K130:K136)+K140+K142+K148+K232+SUM(K236:K236)+SUM(K240)+K246+K248+K141+K238+K57+K44+K51</f>
        <v>173766499.9873395</v>
      </c>
      <c r="L410" s="155">
        <f t="shared" si="342"/>
        <v>0</v>
      </c>
      <c r="M410" s="155">
        <f t="shared" si="342"/>
        <v>77741984.228214502</v>
      </c>
      <c r="N410" s="155">
        <f t="shared" si="342"/>
        <v>0</v>
      </c>
      <c r="O410" s="155">
        <f t="shared" si="342"/>
        <v>19339863.203821175</v>
      </c>
      <c r="P410" s="155">
        <f t="shared" si="342"/>
        <v>0</v>
      </c>
      <c r="Q410" s="155">
        <f t="shared" si="342"/>
        <v>19071520.185298745</v>
      </c>
      <c r="R410" s="155">
        <f t="shared" si="342"/>
        <v>0</v>
      </c>
      <c r="S410" s="155">
        <f t="shared" si="342"/>
        <v>21779467</v>
      </c>
      <c r="T410" s="155">
        <f t="shared" si="342"/>
        <v>0</v>
      </c>
      <c r="U410" s="155">
        <f t="shared" si="342"/>
        <v>9314645</v>
      </c>
      <c r="V410" s="155">
        <f t="shared" si="342"/>
        <v>0</v>
      </c>
      <c r="W410" s="155">
        <f t="shared" si="342"/>
        <v>222514522.65504283</v>
      </c>
      <c r="X410" s="155">
        <f t="shared" si="342"/>
        <v>0</v>
      </c>
      <c r="Y410" s="155">
        <f t="shared" si="342"/>
        <v>44298133.731565014</v>
      </c>
      <c r="Z410" s="155">
        <f t="shared" si="342"/>
        <v>0</v>
      </c>
      <c r="AA410" s="155">
        <f t="shared" si="342"/>
        <v>5584440</v>
      </c>
      <c r="AB410" s="155">
        <f t="shared" si="342"/>
        <v>0</v>
      </c>
      <c r="AC410" s="155">
        <f t="shared" si="342"/>
        <v>3831162</v>
      </c>
      <c r="AD410" s="155">
        <f t="shared" si="342"/>
        <v>0</v>
      </c>
      <c r="AE410" s="155">
        <f t="shared" si="342"/>
        <v>711317</v>
      </c>
      <c r="AF410" s="155">
        <f t="shared" si="342"/>
        <v>0</v>
      </c>
      <c r="AG410" s="155">
        <f t="shared" si="342"/>
        <v>2040771</v>
      </c>
      <c r="AH410" s="155"/>
      <c r="AI410" s="155">
        <f t="shared" si="337"/>
        <v>599994325.99128175</v>
      </c>
      <c r="AJ410" s="47"/>
      <c r="AK410" s="466"/>
    </row>
    <row r="411" spans="2:37">
      <c r="B411" s="168"/>
      <c r="E411" s="285"/>
      <c r="F411" s="222"/>
      <c r="G411" s="261"/>
      <c r="H411" s="222"/>
      <c r="I411" s="222"/>
      <c r="J411" s="149">
        <v>16</v>
      </c>
      <c r="K411" s="168">
        <f>ROUND(K410/$AI410,4)-0.0001</f>
        <v>0.28950000000000004</v>
      </c>
      <c r="L411" s="168"/>
      <c r="M411" s="168">
        <f>ROUND(M410/$AI410,4)</f>
        <v>0.12959999999999999</v>
      </c>
      <c r="N411" s="168"/>
      <c r="O411" s="168">
        <f>ROUND(O410/$AI410,4)</f>
        <v>3.2199999999999999E-2</v>
      </c>
      <c r="P411" s="168"/>
      <c r="Q411" s="168">
        <f>ROUND(Q410/$AI410,4)</f>
        <v>3.1800000000000002E-2</v>
      </c>
      <c r="R411" s="168"/>
      <c r="S411" s="168">
        <f>ROUND(S410/$AI410,4)</f>
        <v>3.6299999999999999E-2</v>
      </c>
      <c r="T411" s="168"/>
      <c r="U411" s="168">
        <f>ROUND(U410/$AI410,4)</f>
        <v>1.55E-2</v>
      </c>
      <c r="V411" s="168"/>
      <c r="W411" s="168">
        <f>ROUND(W410/$AI410,4)+0.0001</f>
        <v>0.371</v>
      </c>
      <c r="X411" s="168"/>
      <c r="Y411" s="168">
        <f>ROUND(Y410/$AI410,4)</f>
        <v>7.3800000000000004E-2</v>
      </c>
      <c r="Z411" s="168"/>
      <c r="AA411" s="168">
        <f>ROUND(AA410/$AI410,4)</f>
        <v>9.2999999999999992E-3</v>
      </c>
      <c r="AB411" s="168"/>
      <c r="AC411" s="168">
        <f>ROUND(AC410/$AI410,4)</f>
        <v>6.4000000000000003E-3</v>
      </c>
      <c r="AD411" s="168"/>
      <c r="AE411" s="168">
        <f>ROUND(AE410/$AI410,4)</f>
        <v>1.1999999999999999E-3</v>
      </c>
      <c r="AF411" s="168"/>
      <c r="AG411" s="168">
        <f>ROUND(AG410/$AI410,4)</f>
        <v>3.3999999999999998E-3</v>
      </c>
      <c r="AI411" s="168">
        <f t="shared" si="337"/>
        <v>0.99999999999999989</v>
      </c>
      <c r="AJ411" s="47" t="str">
        <f t="shared" si="332"/>
        <v>0k</v>
      </c>
      <c r="AK411" s="466">
        <v>16</v>
      </c>
    </row>
    <row r="412" spans="2:37">
      <c r="B412" s="168"/>
      <c r="E412" s="222"/>
      <c r="F412" s="222"/>
      <c r="G412" s="261"/>
      <c r="H412" s="222"/>
      <c r="I412" s="285" t="s">
        <v>272</v>
      </c>
      <c r="K412" s="155">
        <f t="shared" ref="K412:U412" si="343">+K303+K304</f>
        <v>466849656</v>
      </c>
      <c r="L412" s="155">
        <f t="shared" si="343"/>
        <v>0</v>
      </c>
      <c r="M412" s="155">
        <f t="shared" si="343"/>
        <v>257489243</v>
      </c>
      <c r="N412" s="155">
        <f t="shared" si="343"/>
        <v>0</v>
      </c>
      <c r="O412" s="155">
        <f t="shared" si="343"/>
        <v>69786804</v>
      </c>
      <c r="P412" s="155">
        <f t="shared" si="343"/>
        <v>0</v>
      </c>
      <c r="Q412" s="155">
        <f t="shared" si="343"/>
        <v>68628147</v>
      </c>
      <c r="R412" s="155">
        <f t="shared" si="343"/>
        <v>0</v>
      </c>
      <c r="S412" s="155">
        <f t="shared" si="343"/>
        <v>87641896</v>
      </c>
      <c r="T412" s="155">
        <f t="shared" si="343"/>
        <v>0</v>
      </c>
      <c r="U412" s="155">
        <f t="shared" si="343"/>
        <v>28947772</v>
      </c>
      <c r="W412" s="155"/>
      <c r="Y412" s="155"/>
      <c r="AA412" s="155"/>
      <c r="AC412" s="155"/>
      <c r="AE412" s="155"/>
      <c r="AF412" s="155"/>
      <c r="AG412" s="155"/>
      <c r="AI412" s="155">
        <f>SUM(K412:AE412)</f>
        <v>979343518</v>
      </c>
      <c r="AJ412" s="47"/>
      <c r="AK412" s="466"/>
    </row>
    <row r="413" spans="2:37">
      <c r="B413" s="168"/>
      <c r="E413" s="222"/>
      <c r="F413" s="222"/>
      <c r="G413" s="261"/>
      <c r="H413" s="222"/>
      <c r="I413" s="222"/>
      <c r="J413" s="149">
        <v>17</v>
      </c>
      <c r="K413" s="168">
        <f>ROUND(K412/$AI412,4)-0.0001</f>
        <v>0.47660000000000002</v>
      </c>
      <c r="L413" s="168"/>
      <c r="M413" s="168">
        <f>ROUND(M412/$AI412,4)</f>
        <v>0.26290000000000002</v>
      </c>
      <c r="N413" s="168"/>
      <c r="O413" s="168">
        <f>ROUND(O412/$AI412,4)</f>
        <v>7.1300000000000002E-2</v>
      </c>
      <c r="P413" s="168"/>
      <c r="Q413" s="168">
        <f>ROUND(Q412/$AI412,4)</f>
        <v>7.0099999999999996E-2</v>
      </c>
      <c r="R413" s="168"/>
      <c r="S413" s="168">
        <f>ROUND(S412/$AI412,4)</f>
        <v>8.9499999999999996E-2</v>
      </c>
      <c r="T413" s="168"/>
      <c r="U413" s="168">
        <f>ROUND(U412/$AI412,4)</f>
        <v>2.9600000000000001E-2</v>
      </c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I413" s="168">
        <f>SUM(K413:AG413)</f>
        <v>1</v>
      </c>
      <c r="AJ413" s="47" t="str">
        <f t="shared" si="332"/>
        <v>0k</v>
      </c>
      <c r="AK413" s="466">
        <v>17</v>
      </c>
    </row>
    <row r="414" spans="2:37">
      <c r="B414" s="168"/>
      <c r="E414" s="222"/>
      <c r="F414" s="222"/>
      <c r="G414" s="261"/>
      <c r="H414" s="222"/>
      <c r="I414" s="490" t="s">
        <v>467</v>
      </c>
      <c r="K414" s="165">
        <f>+K302+K303+K304</f>
        <v>720113614</v>
      </c>
      <c r="L414" s="165"/>
      <c r="M414" s="165">
        <f>+M302+M303+M304</f>
        <v>397176065</v>
      </c>
      <c r="N414" s="165"/>
      <c r="O414" s="165">
        <f>+O302+O303+O304</f>
        <v>107645849</v>
      </c>
      <c r="P414" s="165"/>
      <c r="Q414" s="165">
        <f>+Q302+Q303+Q304</f>
        <v>105858626</v>
      </c>
      <c r="R414" s="165"/>
      <c r="S414" s="165">
        <f>+S302+S303+S304</f>
        <v>87641896</v>
      </c>
      <c r="T414" s="165"/>
      <c r="U414" s="165">
        <f>+U302+U303+U304</f>
        <v>44420179</v>
      </c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I414" s="155">
        <f>SUM(K414:AE414)</f>
        <v>1462856229</v>
      </c>
      <c r="AJ414" s="47"/>
      <c r="AK414" s="466"/>
    </row>
    <row r="415" spans="2:37">
      <c r="E415" s="222"/>
      <c r="F415" s="222"/>
      <c r="G415" s="261"/>
      <c r="H415" s="222"/>
      <c r="I415" s="222"/>
      <c r="J415" s="287">
        <v>18</v>
      </c>
      <c r="K415" s="168">
        <f>ROUND(K414/$AI414,4)-0.0001</f>
        <v>0.49220000000000003</v>
      </c>
      <c r="L415" s="168"/>
      <c r="M415" s="168">
        <f>ROUND(M414/$AI414,4)</f>
        <v>0.27150000000000002</v>
      </c>
      <c r="N415" s="168"/>
      <c r="O415" s="168">
        <f>ROUND(O414/$AI414,4)</f>
        <v>7.3599999999999999E-2</v>
      </c>
      <c r="P415" s="168"/>
      <c r="Q415" s="168">
        <f>ROUND(Q414/$AI414,4)</f>
        <v>7.2400000000000006E-2</v>
      </c>
      <c r="R415" s="168"/>
      <c r="S415" s="168">
        <f>ROUND(S414/$AI414,4)</f>
        <v>5.9900000000000002E-2</v>
      </c>
      <c r="T415" s="168"/>
      <c r="U415" s="168">
        <f>ROUND(U414/$AI414,4)</f>
        <v>3.04E-2</v>
      </c>
      <c r="V415" s="287"/>
      <c r="W415" s="287"/>
      <c r="X415" s="287"/>
      <c r="Y415" s="287"/>
      <c r="Z415" s="287"/>
      <c r="AA415" s="287"/>
      <c r="AB415" s="287"/>
      <c r="AC415" s="287"/>
      <c r="AD415" s="287"/>
      <c r="AE415" s="287">
        <v>0</v>
      </c>
      <c r="AF415" s="287"/>
      <c r="AG415" s="287"/>
      <c r="AH415" s="287"/>
      <c r="AI415" s="168">
        <f>SUM(K415:AG415)</f>
        <v>1</v>
      </c>
      <c r="AJ415" s="287" t="str">
        <f t="shared" si="332"/>
        <v>0k</v>
      </c>
      <c r="AK415" s="468">
        <v>18</v>
      </c>
    </row>
    <row r="416" spans="2:37">
      <c r="E416" s="222"/>
      <c r="F416" s="222"/>
      <c r="G416" s="261"/>
      <c r="H416" s="222"/>
      <c r="I416" s="490" t="s">
        <v>550</v>
      </c>
      <c r="J416" s="287">
        <v>19</v>
      </c>
      <c r="K416" s="287">
        <f>+'Ft 15to21'!E133</f>
        <v>1.5999999999999999E-5</v>
      </c>
      <c r="L416" s="287"/>
      <c r="M416" s="287"/>
      <c r="N416" s="287"/>
      <c r="O416" s="287"/>
      <c r="P416" s="287"/>
      <c r="Q416" s="287"/>
      <c r="R416" s="287"/>
      <c r="S416" s="287"/>
      <c r="T416" s="287"/>
      <c r="U416" s="287">
        <v>0</v>
      </c>
      <c r="V416" s="287"/>
      <c r="W416" s="288">
        <f>+'Ft 15to21'!E111</f>
        <v>0.94769999999999999</v>
      </c>
      <c r="X416" s="287"/>
      <c r="Y416" s="287">
        <f>+'Ft 15to21'!E112</f>
        <v>4.3499999999999997E-2</v>
      </c>
      <c r="Z416" s="287"/>
      <c r="AA416" s="287">
        <f>+'Ft 15to21'!E113</f>
        <v>5.9999999999999995E-4</v>
      </c>
      <c r="AB416" s="287"/>
      <c r="AC416" s="287">
        <f>+'Ft 15to21'!E114</f>
        <v>6.1999999999999998E-3</v>
      </c>
      <c r="AD416" s="287"/>
      <c r="AE416" s="287">
        <f>+'Ft 15to21'!E115</f>
        <v>2E-3</v>
      </c>
      <c r="AF416" s="287"/>
      <c r="AG416" s="287">
        <f>+'Ft 15to21'!E116</f>
        <v>0</v>
      </c>
      <c r="AH416" s="287"/>
      <c r="AI416" s="288">
        <f>SUM(K416:AG416)</f>
        <v>1.000016</v>
      </c>
      <c r="AJ416" s="287" t="str">
        <f t="shared" si="332"/>
        <v>&lt;&lt;&lt;??</v>
      </c>
      <c r="AK416" s="468">
        <v>19</v>
      </c>
    </row>
    <row r="417" spans="1:37">
      <c r="E417" s="222"/>
      <c r="F417" s="222"/>
      <c r="G417" s="261"/>
      <c r="H417" s="222"/>
      <c r="I417" s="490" t="s">
        <v>551</v>
      </c>
      <c r="J417" s="287">
        <v>20</v>
      </c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>
        <v>0</v>
      </c>
      <c r="V417" s="287"/>
      <c r="W417" s="287">
        <f>+'Ft 15to21'!E129</f>
        <v>0.66559199999999996</v>
      </c>
      <c r="X417" s="287"/>
      <c r="Y417" s="287">
        <f>+'Ft 15to21'!E130</f>
        <v>0.27485900000000002</v>
      </c>
      <c r="Z417" s="287"/>
      <c r="AA417" s="287">
        <f>+'Ft 15to21'!E131</f>
        <v>5.8852000000000002E-2</v>
      </c>
      <c r="AB417" s="287"/>
      <c r="AC417" s="287">
        <f>+'Ft 15to21'!E132</f>
        <v>4.7100000000000001E-4</v>
      </c>
      <c r="AD417" s="287"/>
      <c r="AE417" s="287">
        <f>+'Ft 15to21'!E133</f>
        <v>1.5999999999999999E-5</v>
      </c>
      <c r="AF417" s="287"/>
      <c r="AG417" s="287">
        <f>+'Ft 15to21'!E134</f>
        <v>2.1100000000000001E-4</v>
      </c>
      <c r="AH417" s="287"/>
      <c r="AI417" s="288">
        <f>SUM(K417:AG417)</f>
        <v>1.0000009999999999</v>
      </c>
      <c r="AJ417" s="287" t="str">
        <f t="shared" si="332"/>
        <v>&lt;&lt;&lt;??</v>
      </c>
      <c r="AK417" s="468">
        <v>20</v>
      </c>
    </row>
    <row r="418" spans="1:37">
      <c r="E418" s="222"/>
      <c r="F418" s="222"/>
      <c r="G418" s="261"/>
      <c r="H418" s="222"/>
      <c r="I418" s="490" t="s">
        <v>361</v>
      </c>
      <c r="J418" s="287">
        <v>21</v>
      </c>
      <c r="K418" s="287">
        <f>+'Ft 15to21'!C171</f>
        <v>0</v>
      </c>
      <c r="L418" s="287"/>
      <c r="M418" s="287">
        <f>+'Ft 15to21'!C172</f>
        <v>0</v>
      </c>
      <c r="N418" s="287"/>
      <c r="O418" s="287">
        <f>+'Ft 15to21'!C173</f>
        <v>0</v>
      </c>
      <c r="P418" s="287"/>
      <c r="Q418" s="287">
        <f>+'Ft 15to21'!C174</f>
        <v>0</v>
      </c>
      <c r="R418" s="287"/>
      <c r="S418" s="287">
        <f>+'Ft 15to21'!C175</f>
        <v>0</v>
      </c>
      <c r="T418" s="287"/>
      <c r="U418" s="287">
        <v>0</v>
      </c>
      <c r="V418" s="287"/>
      <c r="W418" s="287"/>
      <c r="X418" s="287"/>
      <c r="Y418" s="287"/>
      <c r="Z418" s="287"/>
      <c r="AA418" s="287"/>
      <c r="AB418" s="287"/>
      <c r="AC418" s="287"/>
      <c r="AD418" s="287"/>
      <c r="AE418" s="287"/>
      <c r="AF418" s="287"/>
      <c r="AG418" s="287">
        <f>+'Ft 15to21'!C176</f>
        <v>0</v>
      </c>
      <c r="AH418" s="287"/>
      <c r="AI418" s="288">
        <f>SUM(K418:AG418)</f>
        <v>0</v>
      </c>
      <c r="AJ418" s="287" t="str">
        <f t="shared" si="332"/>
        <v>&lt;&lt;&lt;??</v>
      </c>
      <c r="AK418" s="468">
        <v>21</v>
      </c>
    </row>
    <row r="419" spans="1:37">
      <c r="E419" s="222"/>
      <c r="F419" s="222"/>
      <c r="G419" s="261"/>
      <c r="H419" s="222"/>
      <c r="I419" s="222"/>
      <c r="AI419" s="168"/>
      <c r="AJ419" s="47"/>
      <c r="AK419" s="466"/>
    </row>
    <row r="420" spans="1:37" ht="15.75">
      <c r="C420" s="27" t="s">
        <v>156</v>
      </c>
      <c r="E420" s="222"/>
      <c r="F420" s="222"/>
      <c r="G420" s="261"/>
      <c r="H420" s="222"/>
      <c r="I420" s="222"/>
      <c r="AK420" s="466"/>
    </row>
    <row r="421" spans="1:37" ht="3.75" customHeight="1">
      <c r="E421" s="222"/>
      <c r="F421" s="222"/>
      <c r="G421" s="261"/>
      <c r="H421" s="222"/>
      <c r="I421" s="222"/>
      <c r="AK421" s="466"/>
    </row>
    <row r="422" spans="1:37">
      <c r="C422" s="149" t="s">
        <v>45</v>
      </c>
      <c r="E422" s="260" t="s">
        <v>469</v>
      </c>
      <c r="F422" s="260"/>
      <c r="G422" s="392">
        <v>1</v>
      </c>
      <c r="H422" s="222"/>
      <c r="I422" s="245">
        <f>Linkin!I10</f>
        <v>94293</v>
      </c>
      <c r="K422" s="156">
        <f t="shared" ref="K422:K430" si="344">ROUND(VLOOKUP($G422,factors,+K$376)*$I422,0)</f>
        <v>67467</v>
      </c>
      <c r="M422" s="156">
        <f t="shared" ref="M422:M430" si="345">ROUND(VLOOKUP($G422,factors,+M$376)*$I422,0)</f>
        <v>26826</v>
      </c>
      <c r="N422" s="156"/>
      <c r="O422" s="156">
        <f t="shared" ref="O422:O430" si="346">ROUND(VLOOKUP($G422,factors,+O$376)*$I422,0)</f>
        <v>0</v>
      </c>
      <c r="P422" s="156"/>
      <c r="Q422" s="156">
        <f t="shared" ref="Q422:Q430" si="347">ROUND(VLOOKUP($G422,factors,+Q$376)*$I422,0)</f>
        <v>0</v>
      </c>
      <c r="R422" s="156"/>
      <c r="S422" s="156">
        <f t="shared" ref="S422:U430" si="348">ROUND(VLOOKUP($G422,factors,+S$376)*$I422,0)</f>
        <v>0</v>
      </c>
      <c r="T422" s="156"/>
      <c r="U422" s="156">
        <f t="shared" si="348"/>
        <v>0</v>
      </c>
      <c r="V422" s="156"/>
      <c r="W422" s="156">
        <f t="shared" ref="W422:W430" si="349">ROUND(VLOOKUP($G422,factors,+W$376)*$I422,0)</f>
        <v>0</v>
      </c>
      <c r="X422" s="156"/>
      <c r="Y422" s="156">
        <f t="shared" ref="Y422:Y430" si="350">ROUND(VLOOKUP($G422,factors,+Y$376)*$I422,0)</f>
        <v>0</v>
      </c>
      <c r="Z422" s="156"/>
      <c r="AA422" s="156">
        <f t="shared" ref="AA422:AA430" si="351">ROUND(VLOOKUP($G422,factors,+AA$376)*$I422,0)</f>
        <v>0</v>
      </c>
      <c r="AB422" s="156"/>
      <c r="AC422" s="156">
        <f t="shared" ref="AC422:AC430" si="352">ROUND(VLOOKUP($G422,factors,+AC$376)*$I422,0)</f>
        <v>0</v>
      </c>
      <c r="AD422" s="156"/>
      <c r="AE422" s="156">
        <f t="shared" ref="AE422:AG430" si="353">ROUND(VLOOKUP($G422,factors,+AE$376)*$I422,0)</f>
        <v>0</v>
      </c>
      <c r="AF422" s="156"/>
      <c r="AG422" s="156">
        <f t="shared" si="353"/>
        <v>0</v>
      </c>
      <c r="AK422" s="466"/>
    </row>
    <row r="423" spans="1:37" ht="18" customHeight="1">
      <c r="A423" s="287"/>
      <c r="C423" s="111" t="s">
        <v>381</v>
      </c>
      <c r="E423" s="260" t="s">
        <v>363</v>
      </c>
      <c r="F423" s="260"/>
      <c r="G423" s="392">
        <f>+G27</f>
        <v>1</v>
      </c>
      <c r="H423" s="222"/>
      <c r="I423" s="898">
        <f>Linkin!I15</f>
        <v>0</v>
      </c>
      <c r="K423" s="156">
        <f t="shared" si="344"/>
        <v>0</v>
      </c>
      <c r="M423" s="156">
        <f t="shared" si="345"/>
        <v>0</v>
      </c>
      <c r="N423" s="156"/>
      <c r="O423" s="156">
        <f t="shared" si="346"/>
        <v>0</v>
      </c>
      <c r="P423" s="156"/>
      <c r="Q423" s="156">
        <f t="shared" si="347"/>
        <v>0</v>
      </c>
      <c r="R423" s="156"/>
      <c r="S423" s="156">
        <f t="shared" si="348"/>
        <v>0</v>
      </c>
      <c r="T423" s="156"/>
      <c r="U423" s="156">
        <f t="shared" si="348"/>
        <v>0</v>
      </c>
      <c r="V423" s="156"/>
      <c r="W423" s="156">
        <f t="shared" si="349"/>
        <v>0</v>
      </c>
      <c r="X423" s="156"/>
      <c r="Y423" s="156">
        <f t="shared" si="350"/>
        <v>0</v>
      </c>
      <c r="Z423" s="156"/>
      <c r="AA423" s="156">
        <f t="shared" si="351"/>
        <v>0</v>
      </c>
      <c r="AB423" s="156"/>
      <c r="AC423" s="156">
        <f t="shared" si="352"/>
        <v>0</v>
      </c>
      <c r="AD423" s="156"/>
      <c r="AE423" s="156">
        <f t="shared" si="353"/>
        <v>0</v>
      </c>
      <c r="AF423" s="156"/>
      <c r="AG423" s="156">
        <f t="shared" si="353"/>
        <v>0</v>
      </c>
      <c r="AI423" s="157">
        <f t="shared" ref="AI423:AI479" si="354">SUM(K423:AG423)-I423</f>
        <v>0</v>
      </c>
      <c r="AK423" s="466"/>
    </row>
    <row r="424" spans="1:37">
      <c r="A424" s="287"/>
      <c r="C424" s="159" t="s">
        <v>366</v>
      </c>
      <c r="E424" s="260" t="s">
        <v>44</v>
      </c>
      <c r="F424" s="260"/>
      <c r="G424" s="392">
        <f>+G30</f>
        <v>1</v>
      </c>
      <c r="H424" s="222"/>
      <c r="I424" s="262">
        <f>Linkin!I16</f>
        <v>0</v>
      </c>
      <c r="K424" s="156">
        <f t="shared" si="344"/>
        <v>0</v>
      </c>
      <c r="M424" s="156">
        <f t="shared" si="345"/>
        <v>0</v>
      </c>
      <c r="N424" s="156"/>
      <c r="O424" s="156">
        <f t="shared" si="346"/>
        <v>0</v>
      </c>
      <c r="P424" s="156"/>
      <c r="Q424" s="156">
        <f t="shared" si="347"/>
        <v>0</v>
      </c>
      <c r="R424" s="156"/>
      <c r="S424" s="156">
        <f t="shared" si="348"/>
        <v>0</v>
      </c>
      <c r="T424" s="156"/>
      <c r="U424" s="156">
        <f t="shared" si="348"/>
        <v>0</v>
      </c>
      <c r="V424" s="156"/>
      <c r="W424" s="156">
        <f t="shared" si="349"/>
        <v>0</v>
      </c>
      <c r="X424" s="156"/>
      <c r="Y424" s="156">
        <f t="shared" si="350"/>
        <v>0</v>
      </c>
      <c r="Z424" s="156"/>
      <c r="AA424" s="156">
        <f t="shared" si="351"/>
        <v>0</v>
      </c>
      <c r="AB424" s="156"/>
      <c r="AC424" s="156">
        <f t="shared" si="352"/>
        <v>0</v>
      </c>
      <c r="AD424" s="156"/>
      <c r="AE424" s="156">
        <f t="shared" si="353"/>
        <v>0</v>
      </c>
      <c r="AF424" s="156"/>
      <c r="AG424" s="156">
        <f t="shared" si="353"/>
        <v>0</v>
      </c>
      <c r="AI424" s="157">
        <f t="shared" si="354"/>
        <v>0</v>
      </c>
      <c r="AK424" s="466"/>
    </row>
    <row r="425" spans="1:37">
      <c r="A425" s="287"/>
      <c r="C425" s="159">
        <v>813</v>
      </c>
      <c r="E425" s="260" t="s">
        <v>228</v>
      </c>
      <c r="F425" s="260"/>
      <c r="G425" s="392">
        <v>1</v>
      </c>
      <c r="H425" s="222"/>
      <c r="I425" s="262">
        <f>Linkin!I32</f>
        <v>2028</v>
      </c>
      <c r="K425" s="156">
        <f t="shared" si="344"/>
        <v>1451</v>
      </c>
      <c r="M425" s="156">
        <f t="shared" si="345"/>
        <v>577</v>
      </c>
      <c r="N425" s="156"/>
      <c r="O425" s="156">
        <f t="shared" si="346"/>
        <v>0</v>
      </c>
      <c r="P425" s="156"/>
      <c r="Q425" s="156">
        <f t="shared" si="347"/>
        <v>0</v>
      </c>
      <c r="R425" s="156"/>
      <c r="S425" s="156">
        <f t="shared" si="348"/>
        <v>0</v>
      </c>
      <c r="T425" s="156"/>
      <c r="U425" s="156">
        <f t="shared" si="348"/>
        <v>0</v>
      </c>
      <c r="V425" s="156"/>
      <c r="W425" s="156">
        <f t="shared" si="349"/>
        <v>0</v>
      </c>
      <c r="X425" s="156"/>
      <c r="Y425" s="156">
        <f t="shared" si="350"/>
        <v>0</v>
      </c>
      <c r="Z425" s="156"/>
      <c r="AA425" s="156">
        <f t="shared" si="351"/>
        <v>0</v>
      </c>
      <c r="AB425" s="156"/>
      <c r="AC425" s="156">
        <f t="shared" si="352"/>
        <v>0</v>
      </c>
      <c r="AD425" s="156"/>
      <c r="AE425" s="156">
        <f t="shared" si="353"/>
        <v>0</v>
      </c>
      <c r="AF425" s="156"/>
      <c r="AG425" s="156">
        <f t="shared" si="353"/>
        <v>0</v>
      </c>
      <c r="AI425" s="157"/>
      <c r="AK425" s="466"/>
    </row>
    <row r="426" spans="1:37">
      <c r="C426" s="159">
        <v>840</v>
      </c>
      <c r="E426" s="260" t="s">
        <v>619</v>
      </c>
      <c r="F426" s="222"/>
      <c r="G426" s="261" t="str">
        <f>+G47</f>
        <v>1A</v>
      </c>
      <c r="H426" s="222"/>
      <c r="I426" s="262">
        <f>+Linkin!I40</f>
        <v>0</v>
      </c>
      <c r="K426" s="156">
        <f t="shared" si="344"/>
        <v>0</v>
      </c>
      <c r="M426" s="156">
        <f t="shared" si="345"/>
        <v>0</v>
      </c>
      <c r="N426" s="156"/>
      <c r="O426" s="156">
        <f t="shared" si="346"/>
        <v>0</v>
      </c>
      <c r="P426" s="156"/>
      <c r="Q426" s="156">
        <f t="shared" si="347"/>
        <v>0</v>
      </c>
      <c r="R426" s="156"/>
      <c r="S426" s="156">
        <f t="shared" si="348"/>
        <v>0</v>
      </c>
      <c r="T426" s="156"/>
      <c r="U426" s="156">
        <f t="shared" si="348"/>
        <v>0</v>
      </c>
      <c r="V426" s="156"/>
      <c r="W426" s="156">
        <f t="shared" si="349"/>
        <v>0</v>
      </c>
      <c r="X426" s="156"/>
      <c r="Y426" s="156">
        <f t="shared" si="350"/>
        <v>0</v>
      </c>
      <c r="Z426" s="156"/>
      <c r="AA426" s="156">
        <f t="shared" si="351"/>
        <v>0</v>
      </c>
      <c r="AB426" s="156"/>
      <c r="AC426" s="156">
        <f t="shared" si="352"/>
        <v>0</v>
      </c>
      <c r="AD426" s="156"/>
      <c r="AE426" s="156">
        <f t="shared" si="353"/>
        <v>0</v>
      </c>
      <c r="AF426" s="156"/>
      <c r="AG426" s="156">
        <f t="shared" si="353"/>
        <v>0</v>
      </c>
      <c r="AI426" s="157">
        <f t="shared" ref="AI426:AI427" si="355">SUM(K426:AG426)-I426</f>
        <v>0</v>
      </c>
      <c r="AK426" s="466"/>
    </row>
    <row r="427" spans="1:37">
      <c r="C427" s="124" t="s">
        <v>378</v>
      </c>
      <c r="E427" s="110" t="s">
        <v>371</v>
      </c>
      <c r="F427" s="222"/>
      <c r="G427" s="261">
        <f>+G54</f>
        <v>4</v>
      </c>
      <c r="H427" s="222"/>
      <c r="I427" s="262">
        <f>+Linkin!I45</f>
        <v>0</v>
      </c>
      <c r="K427" s="156">
        <f t="shared" si="344"/>
        <v>0</v>
      </c>
      <c r="M427" s="156">
        <f t="shared" si="345"/>
        <v>0</v>
      </c>
      <c r="N427" s="156"/>
      <c r="O427" s="156">
        <f t="shared" si="346"/>
        <v>0</v>
      </c>
      <c r="P427" s="156"/>
      <c r="Q427" s="156">
        <f t="shared" si="347"/>
        <v>0</v>
      </c>
      <c r="R427" s="156"/>
      <c r="S427" s="156">
        <f t="shared" si="348"/>
        <v>0</v>
      </c>
      <c r="T427" s="156"/>
      <c r="U427" s="156">
        <f t="shared" si="348"/>
        <v>0</v>
      </c>
      <c r="V427" s="156"/>
      <c r="W427" s="156">
        <f t="shared" si="349"/>
        <v>0</v>
      </c>
      <c r="X427" s="156"/>
      <c r="Y427" s="156">
        <f t="shared" si="350"/>
        <v>0</v>
      </c>
      <c r="Z427" s="156"/>
      <c r="AA427" s="156">
        <f t="shared" si="351"/>
        <v>0</v>
      </c>
      <c r="AB427" s="156"/>
      <c r="AC427" s="156">
        <f t="shared" si="352"/>
        <v>0</v>
      </c>
      <c r="AD427" s="156"/>
      <c r="AE427" s="156">
        <f t="shared" si="353"/>
        <v>0</v>
      </c>
      <c r="AF427" s="156"/>
      <c r="AG427" s="156">
        <f t="shared" si="353"/>
        <v>0</v>
      </c>
      <c r="AI427" s="157">
        <f t="shared" si="355"/>
        <v>0</v>
      </c>
      <c r="AK427" s="466"/>
    </row>
    <row r="428" spans="1:37">
      <c r="C428" s="124" t="s">
        <v>379</v>
      </c>
      <c r="E428" s="110" t="s">
        <v>372</v>
      </c>
      <c r="F428" s="222"/>
      <c r="G428" s="261">
        <f>+G55</f>
        <v>4</v>
      </c>
      <c r="H428" s="222"/>
      <c r="I428" s="262">
        <f>+Linkin!I46</f>
        <v>0</v>
      </c>
      <c r="K428" s="156">
        <f t="shared" si="344"/>
        <v>0</v>
      </c>
      <c r="M428" s="156">
        <f t="shared" si="345"/>
        <v>0</v>
      </c>
      <c r="N428" s="156"/>
      <c r="O428" s="156">
        <f t="shared" si="346"/>
        <v>0</v>
      </c>
      <c r="P428" s="156"/>
      <c r="Q428" s="156">
        <f t="shared" si="347"/>
        <v>0</v>
      </c>
      <c r="R428" s="156"/>
      <c r="S428" s="156">
        <f t="shared" si="348"/>
        <v>0</v>
      </c>
      <c r="T428" s="156"/>
      <c r="U428" s="156">
        <f t="shared" si="348"/>
        <v>0</v>
      </c>
      <c r="V428" s="156"/>
      <c r="W428" s="156">
        <f t="shared" si="349"/>
        <v>0</v>
      </c>
      <c r="X428" s="156"/>
      <c r="Y428" s="156">
        <f t="shared" si="350"/>
        <v>0</v>
      </c>
      <c r="Z428" s="156"/>
      <c r="AA428" s="156">
        <f t="shared" si="351"/>
        <v>0</v>
      </c>
      <c r="AB428" s="156"/>
      <c r="AC428" s="156">
        <f t="shared" si="352"/>
        <v>0</v>
      </c>
      <c r="AD428" s="156"/>
      <c r="AE428" s="156">
        <f t="shared" si="353"/>
        <v>0</v>
      </c>
      <c r="AF428" s="156"/>
      <c r="AG428" s="156">
        <f t="shared" si="353"/>
        <v>0</v>
      </c>
      <c r="AI428" s="157">
        <f t="shared" si="354"/>
        <v>0</v>
      </c>
      <c r="AK428" s="466"/>
    </row>
    <row r="429" spans="1:37">
      <c r="C429" s="121">
        <v>870</v>
      </c>
      <c r="E429" s="110" t="s">
        <v>57</v>
      </c>
      <c r="F429" s="222"/>
      <c r="G429" s="261">
        <f>+G62</f>
        <v>10</v>
      </c>
      <c r="H429" s="222"/>
      <c r="I429" s="262">
        <f>+Linkin!I50</f>
        <v>7383279</v>
      </c>
      <c r="K429" s="156">
        <f t="shared" si="344"/>
        <v>1580760</v>
      </c>
      <c r="M429" s="156">
        <f t="shared" si="345"/>
        <v>871965</v>
      </c>
      <c r="N429" s="156"/>
      <c r="O429" s="156">
        <f t="shared" si="346"/>
        <v>237003</v>
      </c>
      <c r="P429" s="156"/>
      <c r="Q429" s="156">
        <f t="shared" si="347"/>
        <v>234788</v>
      </c>
      <c r="R429" s="156"/>
      <c r="S429" s="156">
        <f t="shared" si="348"/>
        <v>502801</v>
      </c>
      <c r="T429" s="156"/>
      <c r="U429" s="156">
        <f t="shared" si="348"/>
        <v>163909</v>
      </c>
      <c r="V429" s="156"/>
      <c r="W429" s="156">
        <f t="shared" si="349"/>
        <v>2576026</v>
      </c>
      <c r="X429" s="156"/>
      <c r="Y429" s="156">
        <f t="shared" si="350"/>
        <v>863844</v>
      </c>
      <c r="Z429" s="156"/>
      <c r="AA429" s="156">
        <f t="shared" si="351"/>
        <v>164647</v>
      </c>
      <c r="AB429" s="156"/>
      <c r="AC429" s="156">
        <f t="shared" si="352"/>
        <v>105581</v>
      </c>
      <c r="AD429" s="156"/>
      <c r="AE429" s="156">
        <f>ROUND(VLOOKUP($G429,factors,+AE$376)*$I429,0)</f>
        <v>20673</v>
      </c>
      <c r="AF429" s="156"/>
      <c r="AG429" s="156">
        <f t="shared" si="353"/>
        <v>61281</v>
      </c>
      <c r="AI429" s="157">
        <f t="shared" si="354"/>
        <v>-1</v>
      </c>
      <c r="AK429" s="466"/>
    </row>
    <row r="430" spans="1:37">
      <c r="C430" s="159">
        <v>871</v>
      </c>
      <c r="E430" s="222" t="s">
        <v>110</v>
      </c>
      <c r="F430" s="222"/>
      <c r="G430" s="261" t="str">
        <f>+G63</f>
        <v>4A</v>
      </c>
      <c r="H430" s="222"/>
      <c r="I430" s="262">
        <f>+Linkin!I51</f>
        <v>47654</v>
      </c>
      <c r="K430" s="156">
        <f t="shared" si="344"/>
        <v>15392</v>
      </c>
      <c r="M430" s="156">
        <f t="shared" si="345"/>
        <v>8506</v>
      </c>
      <c r="N430" s="156"/>
      <c r="O430" s="156">
        <f t="shared" si="346"/>
        <v>2326</v>
      </c>
      <c r="P430" s="156"/>
      <c r="Q430" s="156">
        <f t="shared" si="347"/>
        <v>2349</v>
      </c>
      <c r="R430" s="156"/>
      <c r="S430" s="156">
        <f t="shared" si="348"/>
        <v>15306</v>
      </c>
      <c r="T430" s="156"/>
      <c r="U430" s="156">
        <f t="shared" si="348"/>
        <v>3774</v>
      </c>
      <c r="V430" s="156"/>
      <c r="W430" s="156">
        <f t="shared" si="349"/>
        <v>0</v>
      </c>
      <c r="X430" s="156"/>
      <c r="Y430" s="156">
        <f t="shared" si="350"/>
        <v>0</v>
      </c>
      <c r="Z430" s="156"/>
      <c r="AA430" s="156">
        <f t="shared" si="351"/>
        <v>0</v>
      </c>
      <c r="AB430" s="156"/>
      <c r="AC430" s="156">
        <f t="shared" si="352"/>
        <v>0</v>
      </c>
      <c r="AD430" s="156"/>
      <c r="AE430" s="156">
        <f t="shared" si="353"/>
        <v>0</v>
      </c>
      <c r="AF430" s="156"/>
      <c r="AG430" s="156">
        <f t="shared" si="353"/>
        <v>0</v>
      </c>
      <c r="AI430" s="157">
        <f t="shared" si="354"/>
        <v>-1</v>
      </c>
      <c r="AK430" s="466"/>
    </row>
    <row r="431" spans="1:37">
      <c r="C431" s="261">
        <v>874</v>
      </c>
      <c r="D431" s="222"/>
      <c r="E431" s="260" t="s">
        <v>111</v>
      </c>
      <c r="F431" s="260"/>
      <c r="G431" s="392"/>
      <c r="H431" s="222"/>
      <c r="I431" s="262"/>
      <c r="K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I431" s="157">
        <f t="shared" si="354"/>
        <v>0</v>
      </c>
      <c r="AK431" s="466"/>
    </row>
    <row r="432" spans="1:37">
      <c r="A432" s="424">
        <f>+Linkin!I54</f>
        <v>8275518</v>
      </c>
      <c r="B432" s="155"/>
      <c r="C432" s="261" t="s">
        <v>217</v>
      </c>
      <c r="D432" s="222"/>
      <c r="E432" s="260" t="s">
        <v>395</v>
      </c>
      <c r="F432" s="260"/>
      <c r="G432" s="392">
        <f t="shared" ref="G432:G441" si="356">+G67</f>
        <v>5</v>
      </c>
      <c r="H432" s="222"/>
      <c r="I432" s="262">
        <f>ROUND((A$432-I$434)*B67,0)</f>
        <v>1528362</v>
      </c>
      <c r="J432" s="87"/>
      <c r="K432" s="156">
        <f t="shared" ref="K432:K445" si="357">ROUND(VLOOKUP($G432,factors,+K$376)*$I432,0)</f>
        <v>800556</v>
      </c>
      <c r="M432" s="156">
        <f t="shared" ref="M432:M445" si="358">ROUND(VLOOKUP($G432,factors,+M$376)*$I432,0)</f>
        <v>441544</v>
      </c>
      <c r="N432" s="156"/>
      <c r="O432" s="156">
        <f t="shared" ref="O432:O445" si="359">ROUND(VLOOKUP($G432,factors,+O$376)*$I432,0)</f>
        <v>119671</v>
      </c>
      <c r="P432" s="156"/>
      <c r="Q432" s="156">
        <f t="shared" ref="Q432:Q445" si="360">ROUND(VLOOKUP($G432,factors,+Q$376)*$I432,0)</f>
        <v>117684</v>
      </c>
      <c r="R432" s="156"/>
      <c r="S432" s="156">
        <f t="shared" ref="S432:U445" si="361">ROUND(VLOOKUP($G432,factors,+S$376)*$I432,0)</f>
        <v>0</v>
      </c>
      <c r="T432" s="156"/>
      <c r="U432" s="156">
        <f t="shared" si="361"/>
        <v>48908</v>
      </c>
      <c r="V432" s="156"/>
      <c r="W432" s="156">
        <f t="shared" ref="W432:W445" si="362">ROUND(VLOOKUP($G432,factors,+W$376)*$I432,0)</f>
        <v>0</v>
      </c>
      <c r="X432" s="156"/>
      <c r="Y432" s="156">
        <f t="shared" ref="Y432:Y445" si="363">ROUND(VLOOKUP($G432,factors,+Y$376)*$I432,0)</f>
        <v>0</v>
      </c>
      <c r="Z432" s="156"/>
      <c r="AA432" s="156">
        <f t="shared" ref="AA432:AA445" si="364">ROUND(VLOOKUP($G432,factors,+AA$376)*$I432,0)</f>
        <v>0</v>
      </c>
      <c r="AB432" s="156"/>
      <c r="AC432" s="156">
        <f t="shared" ref="AC432:AC445" si="365">ROUND(VLOOKUP($G432,factors,+AC$376)*$I432,0)</f>
        <v>0</v>
      </c>
      <c r="AD432" s="156"/>
      <c r="AE432" s="156">
        <f t="shared" ref="AE432:AG445" si="366">ROUND(VLOOKUP($G432,factors,+AE$376)*$I432,0)</f>
        <v>0</v>
      </c>
      <c r="AF432" s="156"/>
      <c r="AG432" s="156">
        <f t="shared" si="366"/>
        <v>0</v>
      </c>
      <c r="AI432" s="157">
        <f t="shared" si="354"/>
        <v>1</v>
      </c>
      <c r="AK432" s="466"/>
    </row>
    <row r="433" spans="1:37">
      <c r="A433" s="147"/>
      <c r="B433" s="155"/>
      <c r="C433" s="261"/>
      <c r="D433" s="222"/>
      <c r="E433" s="260" t="s">
        <v>396</v>
      </c>
      <c r="F433" s="260"/>
      <c r="G433" s="392">
        <f t="shared" si="356"/>
        <v>17</v>
      </c>
      <c r="H433" s="222"/>
      <c r="I433" s="262">
        <f>ROUND((A$432-I$434)*B68,0)</f>
        <v>2817280</v>
      </c>
      <c r="J433" s="87"/>
      <c r="K433" s="156">
        <f t="shared" si="357"/>
        <v>1342716</v>
      </c>
      <c r="M433" s="156">
        <f t="shared" si="358"/>
        <v>740663</v>
      </c>
      <c r="N433" s="156"/>
      <c r="O433" s="156">
        <f t="shared" si="359"/>
        <v>200872</v>
      </c>
      <c r="P433" s="156"/>
      <c r="Q433" s="156">
        <f t="shared" si="360"/>
        <v>197491</v>
      </c>
      <c r="R433" s="156"/>
      <c r="S433" s="156">
        <f t="shared" si="361"/>
        <v>252147</v>
      </c>
      <c r="T433" s="156"/>
      <c r="U433" s="156">
        <f t="shared" si="361"/>
        <v>83391</v>
      </c>
      <c r="V433" s="156"/>
      <c r="W433" s="156">
        <f t="shared" si="362"/>
        <v>0</v>
      </c>
      <c r="X433" s="156"/>
      <c r="Y433" s="156">
        <f t="shared" si="363"/>
        <v>0</v>
      </c>
      <c r="Z433" s="156"/>
      <c r="AA433" s="156">
        <f t="shared" si="364"/>
        <v>0</v>
      </c>
      <c r="AB433" s="156"/>
      <c r="AC433" s="156">
        <f t="shared" si="365"/>
        <v>0</v>
      </c>
      <c r="AD433" s="156"/>
      <c r="AE433" s="156">
        <f t="shared" si="366"/>
        <v>0</v>
      </c>
      <c r="AF433" s="156"/>
      <c r="AG433" s="156">
        <f t="shared" si="366"/>
        <v>0</v>
      </c>
      <c r="AI433" s="157">
        <f t="shared" si="354"/>
        <v>0</v>
      </c>
      <c r="AK433" s="466"/>
    </row>
    <row r="434" spans="1:37" s="87" customFormat="1">
      <c r="B434" s="147">
        <f>SUM(I432:I434)</f>
        <v>8275518</v>
      </c>
      <c r="C434" s="392" t="s">
        <v>217</v>
      </c>
      <c r="D434" s="260"/>
      <c r="E434" s="260" t="s">
        <v>303</v>
      </c>
      <c r="F434" s="260"/>
      <c r="G434" s="392" t="str">
        <f t="shared" si="356"/>
        <v>6C</v>
      </c>
      <c r="H434" s="260"/>
      <c r="I434" s="262">
        <f>ROUND(A$432*B69,0)</f>
        <v>3929876</v>
      </c>
      <c r="K434" s="177">
        <f t="shared" si="357"/>
        <v>0</v>
      </c>
      <c r="M434" s="177">
        <f t="shared" si="358"/>
        <v>0</v>
      </c>
      <c r="N434" s="177"/>
      <c r="O434" s="177">
        <f t="shared" si="359"/>
        <v>0</v>
      </c>
      <c r="P434" s="177"/>
      <c r="Q434" s="177">
        <f t="shared" si="360"/>
        <v>0</v>
      </c>
      <c r="R434" s="177"/>
      <c r="S434" s="177">
        <f t="shared" si="361"/>
        <v>0</v>
      </c>
      <c r="T434" s="177"/>
      <c r="U434" s="177">
        <f t="shared" si="361"/>
        <v>0</v>
      </c>
      <c r="V434" s="177"/>
      <c r="W434" s="177">
        <f t="shared" si="362"/>
        <v>3425280</v>
      </c>
      <c r="X434" s="177"/>
      <c r="Y434" s="177">
        <f t="shared" si="363"/>
        <v>457438</v>
      </c>
      <c r="Z434" s="177"/>
      <c r="AA434" s="177">
        <f t="shared" si="364"/>
        <v>19256</v>
      </c>
      <c r="AB434" s="177"/>
      <c r="AC434" s="177">
        <f t="shared" si="365"/>
        <v>20435</v>
      </c>
      <c r="AD434" s="177"/>
      <c r="AE434" s="177">
        <f t="shared" si="366"/>
        <v>1572</v>
      </c>
      <c r="AF434" s="177"/>
      <c r="AG434" s="177">
        <f t="shared" si="366"/>
        <v>5895</v>
      </c>
      <c r="AI434" s="157">
        <f t="shared" si="354"/>
        <v>0</v>
      </c>
      <c r="AK434" s="467"/>
    </row>
    <row r="435" spans="1:37">
      <c r="C435" s="159">
        <v>875</v>
      </c>
      <c r="E435" s="222" t="s">
        <v>112</v>
      </c>
      <c r="F435" s="222"/>
      <c r="G435" s="261" t="str">
        <f t="shared" si="356"/>
        <v>4A</v>
      </c>
      <c r="H435" s="222"/>
      <c r="I435" s="262">
        <f>+Linkin!I55</f>
        <v>1221759</v>
      </c>
      <c r="K435" s="156">
        <f t="shared" si="357"/>
        <v>394628</v>
      </c>
      <c r="M435" s="156">
        <f t="shared" si="358"/>
        <v>218084</v>
      </c>
      <c r="N435" s="156"/>
      <c r="O435" s="156">
        <f t="shared" si="359"/>
        <v>59622</v>
      </c>
      <c r="P435" s="156"/>
      <c r="Q435" s="156">
        <f t="shared" si="360"/>
        <v>60233</v>
      </c>
      <c r="R435" s="156"/>
      <c r="S435" s="156">
        <f t="shared" si="361"/>
        <v>392429</v>
      </c>
      <c r="T435" s="156"/>
      <c r="U435" s="156">
        <f t="shared" si="361"/>
        <v>96763</v>
      </c>
      <c r="V435" s="156"/>
      <c r="W435" s="156">
        <f t="shared" si="362"/>
        <v>0</v>
      </c>
      <c r="X435" s="156"/>
      <c r="Y435" s="156">
        <f t="shared" si="363"/>
        <v>0</v>
      </c>
      <c r="Z435" s="156"/>
      <c r="AA435" s="156">
        <f t="shared" si="364"/>
        <v>0</v>
      </c>
      <c r="AB435" s="156"/>
      <c r="AC435" s="156">
        <f t="shared" si="365"/>
        <v>0</v>
      </c>
      <c r="AD435" s="156"/>
      <c r="AE435" s="156">
        <f t="shared" si="366"/>
        <v>0</v>
      </c>
      <c r="AF435" s="156"/>
      <c r="AG435" s="156">
        <f t="shared" si="366"/>
        <v>0</v>
      </c>
      <c r="AI435" s="157">
        <f t="shared" si="354"/>
        <v>0</v>
      </c>
      <c r="AK435" s="466"/>
    </row>
    <row r="436" spans="1:37">
      <c r="C436" s="159">
        <v>876</v>
      </c>
      <c r="E436" s="101" t="s">
        <v>61</v>
      </c>
      <c r="F436" s="222"/>
      <c r="G436" s="261" t="str">
        <f t="shared" si="356"/>
        <v>6B</v>
      </c>
      <c r="H436" s="222"/>
      <c r="I436" s="262">
        <f>+Linkin!I56</f>
        <v>365007</v>
      </c>
      <c r="K436" s="156">
        <f t="shared" si="357"/>
        <v>0</v>
      </c>
      <c r="M436" s="156">
        <f t="shared" si="358"/>
        <v>0</v>
      </c>
      <c r="N436" s="156"/>
      <c r="O436" s="156">
        <f t="shared" si="359"/>
        <v>0</v>
      </c>
      <c r="P436" s="156"/>
      <c r="Q436" s="156">
        <f t="shared" si="360"/>
        <v>0</v>
      </c>
      <c r="R436" s="156"/>
      <c r="S436" s="156">
        <f t="shared" si="361"/>
        <v>0</v>
      </c>
      <c r="T436" s="156"/>
      <c r="U436" s="156">
        <f t="shared" si="361"/>
        <v>0</v>
      </c>
      <c r="V436" s="156"/>
      <c r="W436" s="156">
        <f t="shared" si="362"/>
        <v>0</v>
      </c>
      <c r="X436" s="156"/>
      <c r="Y436" s="156">
        <f t="shared" si="363"/>
        <v>0</v>
      </c>
      <c r="Z436" s="156"/>
      <c r="AA436" s="156">
        <f t="shared" si="364"/>
        <v>172429</v>
      </c>
      <c r="AB436" s="156"/>
      <c r="AC436" s="156">
        <f t="shared" si="365"/>
        <v>105524</v>
      </c>
      <c r="AD436" s="156"/>
      <c r="AE436" s="156">
        <f t="shared" si="366"/>
        <v>21791</v>
      </c>
      <c r="AF436" s="156"/>
      <c r="AG436" s="156">
        <f t="shared" si="366"/>
        <v>65263</v>
      </c>
      <c r="AI436" s="157">
        <f t="shared" si="354"/>
        <v>0</v>
      </c>
      <c r="AK436" s="466"/>
    </row>
    <row r="437" spans="1:37">
      <c r="C437" s="159">
        <v>877</v>
      </c>
      <c r="E437" s="101" t="s">
        <v>62</v>
      </c>
      <c r="F437" s="222"/>
      <c r="G437" s="261" t="str">
        <f t="shared" si="356"/>
        <v>4A</v>
      </c>
      <c r="H437" s="222"/>
      <c r="I437" s="262">
        <f>+Linkin!I57</f>
        <v>894267</v>
      </c>
      <c r="K437" s="156">
        <f t="shared" si="357"/>
        <v>288848</v>
      </c>
      <c r="M437" s="156">
        <f t="shared" si="358"/>
        <v>159627</v>
      </c>
      <c r="N437" s="156"/>
      <c r="O437" s="156">
        <f t="shared" si="359"/>
        <v>43640</v>
      </c>
      <c r="P437" s="156"/>
      <c r="Q437" s="156">
        <f t="shared" si="360"/>
        <v>44087</v>
      </c>
      <c r="R437" s="156"/>
      <c r="S437" s="156">
        <f t="shared" si="361"/>
        <v>287239</v>
      </c>
      <c r="T437" s="156"/>
      <c r="U437" s="156">
        <f t="shared" si="361"/>
        <v>70826</v>
      </c>
      <c r="V437" s="156"/>
      <c r="W437" s="156">
        <f t="shared" si="362"/>
        <v>0</v>
      </c>
      <c r="X437" s="156"/>
      <c r="Y437" s="156">
        <f t="shared" si="363"/>
        <v>0</v>
      </c>
      <c r="Z437" s="156"/>
      <c r="AA437" s="156">
        <f t="shared" si="364"/>
        <v>0</v>
      </c>
      <c r="AB437" s="156"/>
      <c r="AC437" s="156">
        <f t="shared" si="365"/>
        <v>0</v>
      </c>
      <c r="AD437" s="156"/>
      <c r="AE437" s="156">
        <f t="shared" si="366"/>
        <v>0</v>
      </c>
      <c r="AF437" s="156"/>
      <c r="AG437" s="156">
        <f t="shared" si="366"/>
        <v>0</v>
      </c>
      <c r="AI437" s="157">
        <f t="shared" si="354"/>
        <v>0</v>
      </c>
      <c r="AK437" s="466"/>
    </row>
    <row r="438" spans="1:37">
      <c r="C438" s="159">
        <v>878</v>
      </c>
      <c r="E438" s="222" t="s">
        <v>114</v>
      </c>
      <c r="F438" s="222"/>
      <c r="G438" s="261">
        <f t="shared" si="356"/>
        <v>6</v>
      </c>
      <c r="H438" s="222"/>
      <c r="I438" s="262">
        <f>+Linkin!I58</f>
        <v>3498997</v>
      </c>
      <c r="K438" s="156">
        <f t="shared" si="357"/>
        <v>0</v>
      </c>
      <c r="M438" s="156">
        <f t="shared" si="358"/>
        <v>0</v>
      </c>
      <c r="N438" s="156"/>
      <c r="O438" s="156">
        <f t="shared" si="359"/>
        <v>0</v>
      </c>
      <c r="P438" s="156"/>
      <c r="Q438" s="156">
        <f t="shared" si="360"/>
        <v>0</v>
      </c>
      <c r="R438" s="156"/>
      <c r="S438" s="156">
        <f t="shared" si="361"/>
        <v>0</v>
      </c>
      <c r="T438" s="156"/>
      <c r="U438" s="156">
        <f t="shared" si="361"/>
        <v>0</v>
      </c>
      <c r="V438" s="156"/>
      <c r="W438" s="156">
        <f t="shared" si="362"/>
        <v>1534310</v>
      </c>
      <c r="X438" s="156"/>
      <c r="Y438" s="156">
        <f t="shared" si="363"/>
        <v>1474477</v>
      </c>
      <c r="Z438" s="156"/>
      <c r="AA438" s="156">
        <f t="shared" si="364"/>
        <v>231634</v>
      </c>
      <c r="AB438" s="156"/>
      <c r="AC438" s="156">
        <f t="shared" si="365"/>
        <v>141709</v>
      </c>
      <c r="AD438" s="156"/>
      <c r="AE438" s="156">
        <f t="shared" si="366"/>
        <v>29392</v>
      </c>
      <c r="AF438" s="156"/>
      <c r="AG438" s="156">
        <f t="shared" si="366"/>
        <v>87475</v>
      </c>
      <c r="AI438" s="157">
        <f t="shared" si="354"/>
        <v>0</v>
      </c>
      <c r="AK438" s="466"/>
    </row>
    <row r="439" spans="1:37">
      <c r="C439" s="159">
        <v>879</v>
      </c>
      <c r="E439" s="222" t="s">
        <v>115</v>
      </c>
      <c r="F439" s="222"/>
      <c r="G439" s="261">
        <f t="shared" si="356"/>
        <v>6</v>
      </c>
      <c r="H439" s="222"/>
      <c r="I439" s="262">
        <f>+Linkin!I59</f>
        <v>1533029</v>
      </c>
      <c r="K439" s="156">
        <f t="shared" si="357"/>
        <v>0</v>
      </c>
      <c r="M439" s="156">
        <f t="shared" si="358"/>
        <v>0</v>
      </c>
      <c r="N439" s="156"/>
      <c r="O439" s="156">
        <f t="shared" si="359"/>
        <v>0</v>
      </c>
      <c r="P439" s="156"/>
      <c r="Q439" s="156">
        <f t="shared" si="360"/>
        <v>0</v>
      </c>
      <c r="R439" s="156"/>
      <c r="S439" s="156">
        <f t="shared" si="361"/>
        <v>0</v>
      </c>
      <c r="T439" s="156"/>
      <c r="U439" s="156">
        <f t="shared" si="361"/>
        <v>0</v>
      </c>
      <c r="V439" s="156"/>
      <c r="W439" s="156">
        <f t="shared" si="362"/>
        <v>672233</v>
      </c>
      <c r="X439" s="156"/>
      <c r="Y439" s="156">
        <f t="shared" si="363"/>
        <v>646018</v>
      </c>
      <c r="Z439" s="156"/>
      <c r="AA439" s="156">
        <f t="shared" si="364"/>
        <v>101487</v>
      </c>
      <c r="AB439" s="156"/>
      <c r="AC439" s="156">
        <f t="shared" si="365"/>
        <v>62088</v>
      </c>
      <c r="AD439" s="156"/>
      <c r="AE439" s="156">
        <f t="shared" si="366"/>
        <v>12877</v>
      </c>
      <c r="AF439" s="156"/>
      <c r="AG439" s="156">
        <f t="shared" si="366"/>
        <v>38326</v>
      </c>
      <c r="AI439" s="157">
        <f t="shared" si="354"/>
        <v>0</v>
      </c>
      <c r="AK439" s="466"/>
    </row>
    <row r="440" spans="1:37">
      <c r="C440" s="159">
        <v>880</v>
      </c>
      <c r="E440" s="222" t="s">
        <v>116</v>
      </c>
      <c r="F440" s="222"/>
      <c r="G440" s="261">
        <f t="shared" si="356"/>
        <v>10</v>
      </c>
      <c r="H440" s="222"/>
      <c r="I440" s="262">
        <f>+Linkin!I60</f>
        <v>2835901</v>
      </c>
      <c r="K440" s="156">
        <f t="shared" si="357"/>
        <v>607166</v>
      </c>
      <c r="M440" s="156">
        <f t="shared" si="358"/>
        <v>334920</v>
      </c>
      <c r="N440" s="156"/>
      <c r="O440" s="156">
        <f t="shared" si="359"/>
        <v>91032</v>
      </c>
      <c r="P440" s="156"/>
      <c r="Q440" s="156">
        <f t="shared" si="360"/>
        <v>90182</v>
      </c>
      <c r="R440" s="156"/>
      <c r="S440" s="156">
        <f t="shared" si="361"/>
        <v>193125</v>
      </c>
      <c r="T440" s="156"/>
      <c r="U440" s="156">
        <f t="shared" si="361"/>
        <v>62957</v>
      </c>
      <c r="V440" s="156"/>
      <c r="W440" s="156">
        <f t="shared" si="362"/>
        <v>989446</v>
      </c>
      <c r="X440" s="156"/>
      <c r="Y440" s="156">
        <f t="shared" si="363"/>
        <v>331800</v>
      </c>
      <c r="Z440" s="156"/>
      <c r="AA440" s="156">
        <f t="shared" si="364"/>
        <v>63241</v>
      </c>
      <c r="AB440" s="156"/>
      <c r="AC440" s="156">
        <f t="shared" si="365"/>
        <v>40553</v>
      </c>
      <c r="AD440" s="156"/>
      <c r="AE440" s="156">
        <f t="shared" si="366"/>
        <v>7941</v>
      </c>
      <c r="AF440" s="156"/>
      <c r="AG440" s="156">
        <f t="shared" si="366"/>
        <v>23538</v>
      </c>
      <c r="AI440" s="157">
        <f t="shared" si="354"/>
        <v>0</v>
      </c>
      <c r="AK440" s="466"/>
    </row>
    <row r="441" spans="1:37">
      <c r="C441" s="159">
        <v>881</v>
      </c>
      <c r="E441" s="222" t="s">
        <v>382</v>
      </c>
      <c r="F441" s="222"/>
      <c r="G441" s="261">
        <f t="shared" si="356"/>
        <v>10</v>
      </c>
      <c r="H441" s="222"/>
      <c r="I441" s="262">
        <f>+Linkin!I61</f>
        <v>3042</v>
      </c>
      <c r="K441" s="156">
        <f t="shared" si="357"/>
        <v>651</v>
      </c>
      <c r="M441" s="156">
        <f t="shared" si="358"/>
        <v>359</v>
      </c>
      <c r="N441" s="156"/>
      <c r="O441" s="156">
        <f t="shared" si="359"/>
        <v>98</v>
      </c>
      <c r="P441" s="156"/>
      <c r="Q441" s="156">
        <f t="shared" si="360"/>
        <v>97</v>
      </c>
      <c r="R441" s="156"/>
      <c r="S441" s="156">
        <f t="shared" si="361"/>
        <v>207</v>
      </c>
      <c r="T441" s="156"/>
      <c r="U441" s="156">
        <f t="shared" si="361"/>
        <v>68</v>
      </c>
      <c r="V441" s="156"/>
      <c r="W441" s="156">
        <f t="shared" si="362"/>
        <v>1061</v>
      </c>
      <c r="X441" s="156"/>
      <c r="Y441" s="156">
        <f t="shared" si="363"/>
        <v>356</v>
      </c>
      <c r="Z441" s="156"/>
      <c r="AA441" s="156">
        <f t="shared" si="364"/>
        <v>68</v>
      </c>
      <c r="AB441" s="156"/>
      <c r="AC441" s="156">
        <f t="shared" si="365"/>
        <v>44</v>
      </c>
      <c r="AD441" s="156"/>
      <c r="AE441" s="156">
        <f t="shared" si="366"/>
        <v>9</v>
      </c>
      <c r="AF441" s="156"/>
      <c r="AG441" s="156">
        <f t="shared" si="366"/>
        <v>25</v>
      </c>
      <c r="AI441" s="157">
        <f t="shared" si="354"/>
        <v>1</v>
      </c>
      <c r="AK441" s="466"/>
    </row>
    <row r="442" spans="1:37">
      <c r="C442" s="159">
        <v>885</v>
      </c>
      <c r="E442" s="222" t="s">
        <v>168</v>
      </c>
      <c r="F442" s="222"/>
      <c r="G442" s="261">
        <f>+G80</f>
        <v>11</v>
      </c>
      <c r="H442" s="222"/>
      <c r="I442" s="262">
        <f>+Linkin!I65</f>
        <v>1894994</v>
      </c>
      <c r="K442" s="156">
        <f t="shared" si="357"/>
        <v>637855</v>
      </c>
      <c r="M442" s="156">
        <f t="shared" si="358"/>
        <v>351900</v>
      </c>
      <c r="N442" s="156"/>
      <c r="O442" s="156">
        <f t="shared" si="359"/>
        <v>95508</v>
      </c>
      <c r="P442" s="156"/>
      <c r="Q442" s="156">
        <f t="shared" si="360"/>
        <v>94181</v>
      </c>
      <c r="R442" s="156"/>
      <c r="S442" s="156">
        <f t="shared" si="361"/>
        <v>124501</v>
      </c>
      <c r="T442" s="156"/>
      <c r="U442" s="156">
        <f t="shared" si="361"/>
        <v>49649</v>
      </c>
      <c r="V442" s="156"/>
      <c r="W442" s="156">
        <f t="shared" si="362"/>
        <v>370282</v>
      </c>
      <c r="X442" s="156"/>
      <c r="Y442" s="156">
        <f t="shared" si="363"/>
        <v>105930</v>
      </c>
      <c r="Z442" s="156"/>
      <c r="AA442" s="156">
        <f t="shared" si="364"/>
        <v>30509</v>
      </c>
      <c r="AB442" s="156"/>
      <c r="AC442" s="156">
        <f t="shared" si="365"/>
        <v>19518</v>
      </c>
      <c r="AD442" s="156"/>
      <c r="AE442" s="156">
        <f t="shared" si="366"/>
        <v>3790</v>
      </c>
      <c r="AF442" s="156"/>
      <c r="AG442" s="156">
        <f t="shared" si="366"/>
        <v>11370</v>
      </c>
      <c r="AI442" s="157">
        <f t="shared" si="354"/>
        <v>-1</v>
      </c>
      <c r="AK442" s="466"/>
    </row>
    <row r="443" spans="1:37">
      <c r="C443" s="159">
        <v>886</v>
      </c>
      <c r="E443" s="222" t="s">
        <v>117</v>
      </c>
      <c r="F443" s="222"/>
      <c r="G443" s="261">
        <f>+G81</f>
        <v>18</v>
      </c>
      <c r="H443" s="222"/>
      <c r="I443" s="262">
        <f>+Linkin!I66</f>
        <v>11153</v>
      </c>
      <c r="K443" s="156">
        <f t="shared" si="357"/>
        <v>5490</v>
      </c>
      <c r="M443" s="156">
        <f t="shared" si="358"/>
        <v>3028</v>
      </c>
      <c r="N443" s="156"/>
      <c r="O443" s="156">
        <f t="shared" si="359"/>
        <v>821</v>
      </c>
      <c r="P443" s="156"/>
      <c r="Q443" s="156">
        <f t="shared" si="360"/>
        <v>807</v>
      </c>
      <c r="R443" s="156"/>
      <c r="S443" s="156">
        <f t="shared" si="361"/>
        <v>668</v>
      </c>
      <c r="T443" s="156"/>
      <c r="U443" s="156">
        <f t="shared" si="361"/>
        <v>339</v>
      </c>
      <c r="V443" s="156"/>
      <c r="W443" s="156">
        <f t="shared" si="362"/>
        <v>0</v>
      </c>
      <c r="X443" s="156"/>
      <c r="Y443" s="156">
        <f t="shared" si="363"/>
        <v>0</v>
      </c>
      <c r="Z443" s="156"/>
      <c r="AA443" s="156">
        <f t="shared" si="364"/>
        <v>0</v>
      </c>
      <c r="AB443" s="156"/>
      <c r="AC443" s="156">
        <f t="shared" si="365"/>
        <v>0</v>
      </c>
      <c r="AD443" s="156"/>
      <c r="AE443" s="156">
        <f t="shared" si="366"/>
        <v>0</v>
      </c>
      <c r="AF443" s="156"/>
      <c r="AG443" s="156">
        <f t="shared" si="366"/>
        <v>0</v>
      </c>
      <c r="AI443" s="157">
        <f t="shared" si="354"/>
        <v>0</v>
      </c>
      <c r="AK443" s="466"/>
    </row>
    <row r="444" spans="1:37">
      <c r="A444" s="424">
        <f>+Linkin!I67</f>
        <v>4027243</v>
      </c>
      <c r="B444" s="268"/>
      <c r="C444" s="261">
        <v>887</v>
      </c>
      <c r="D444" s="222"/>
      <c r="E444" s="260" t="s">
        <v>393</v>
      </c>
      <c r="F444" s="260"/>
      <c r="G444" s="261">
        <f>+G82</f>
        <v>5</v>
      </c>
      <c r="H444" s="222"/>
      <c r="I444" s="262">
        <f>ROUND(A444*B67,0)</f>
        <v>1416381</v>
      </c>
      <c r="J444" s="222"/>
      <c r="K444" s="156">
        <f t="shared" si="357"/>
        <v>741900</v>
      </c>
      <c r="M444" s="156">
        <f t="shared" si="358"/>
        <v>409192</v>
      </c>
      <c r="N444" s="156"/>
      <c r="O444" s="156">
        <f t="shared" si="359"/>
        <v>110903</v>
      </c>
      <c r="P444" s="156"/>
      <c r="Q444" s="156">
        <f t="shared" si="360"/>
        <v>109061</v>
      </c>
      <c r="R444" s="156"/>
      <c r="S444" s="156">
        <f t="shared" si="361"/>
        <v>0</v>
      </c>
      <c r="T444" s="156"/>
      <c r="U444" s="156">
        <f t="shared" si="361"/>
        <v>45324</v>
      </c>
      <c r="V444" s="156"/>
      <c r="W444" s="156">
        <f t="shared" si="362"/>
        <v>0</v>
      </c>
      <c r="X444" s="156"/>
      <c r="Y444" s="156">
        <f t="shared" si="363"/>
        <v>0</v>
      </c>
      <c r="Z444" s="156"/>
      <c r="AA444" s="156">
        <f t="shared" si="364"/>
        <v>0</v>
      </c>
      <c r="AB444" s="156"/>
      <c r="AC444" s="156">
        <f t="shared" si="365"/>
        <v>0</v>
      </c>
      <c r="AD444" s="156"/>
      <c r="AE444" s="156">
        <f t="shared" si="366"/>
        <v>0</v>
      </c>
      <c r="AF444" s="156"/>
      <c r="AG444" s="156">
        <f t="shared" si="366"/>
        <v>0</v>
      </c>
      <c r="AI444" s="157">
        <f t="shared" si="354"/>
        <v>-1</v>
      </c>
      <c r="AK444" s="466"/>
    </row>
    <row r="445" spans="1:37">
      <c r="B445" s="165">
        <f>+I444+I445</f>
        <v>4027243</v>
      </c>
      <c r="C445" s="261"/>
      <c r="D445" s="222"/>
      <c r="E445" s="260" t="s">
        <v>394</v>
      </c>
      <c r="F445" s="260"/>
      <c r="G445" s="261">
        <f>+G83</f>
        <v>17</v>
      </c>
      <c r="H445" s="222"/>
      <c r="I445" s="262">
        <f>ROUND(A444*B68,0)</f>
        <v>2610862</v>
      </c>
      <c r="J445" s="222"/>
      <c r="K445" s="156">
        <f t="shared" si="357"/>
        <v>1244337</v>
      </c>
      <c r="M445" s="156">
        <f t="shared" si="358"/>
        <v>686396</v>
      </c>
      <c r="N445" s="156"/>
      <c r="O445" s="156">
        <f t="shared" si="359"/>
        <v>186154</v>
      </c>
      <c r="P445" s="156"/>
      <c r="Q445" s="156">
        <f t="shared" si="360"/>
        <v>183021</v>
      </c>
      <c r="R445" s="156"/>
      <c r="S445" s="156">
        <f t="shared" si="361"/>
        <v>233672</v>
      </c>
      <c r="T445" s="156"/>
      <c r="U445" s="156">
        <f t="shared" si="361"/>
        <v>77282</v>
      </c>
      <c r="V445" s="156"/>
      <c r="W445" s="156">
        <f t="shared" si="362"/>
        <v>0</v>
      </c>
      <c r="X445" s="156"/>
      <c r="Y445" s="156">
        <f t="shared" si="363"/>
        <v>0</v>
      </c>
      <c r="Z445" s="156"/>
      <c r="AA445" s="156">
        <f t="shared" si="364"/>
        <v>0</v>
      </c>
      <c r="AB445" s="156"/>
      <c r="AC445" s="156">
        <f t="shared" si="365"/>
        <v>0</v>
      </c>
      <c r="AD445" s="156"/>
      <c r="AE445" s="156">
        <f t="shared" si="366"/>
        <v>0</v>
      </c>
      <c r="AF445" s="156"/>
      <c r="AG445" s="156">
        <f t="shared" si="366"/>
        <v>0</v>
      </c>
      <c r="AI445" s="157">
        <f t="shared" si="354"/>
        <v>0</v>
      </c>
      <c r="AK445" s="466"/>
    </row>
    <row r="446" spans="1:37">
      <c r="C446" s="159">
        <v>889</v>
      </c>
      <c r="E446" s="222" t="s">
        <v>118</v>
      </c>
      <c r="F446" s="222"/>
      <c r="G446" s="261" t="str">
        <f t="shared" ref="G446:G451" si="367">+G85</f>
        <v>4A</v>
      </c>
      <c r="H446" s="222"/>
      <c r="I446" s="262">
        <f>+Linkin!I69</f>
        <v>671207</v>
      </c>
      <c r="K446" s="156">
        <f t="shared" ref="K446:K457" si="368">ROUND(VLOOKUP($G446,factors,+K$376)*$I446,0)</f>
        <v>216800</v>
      </c>
      <c r="M446" s="156">
        <f t="shared" ref="M446:M457" si="369">ROUND(VLOOKUP($G446,factors,+M$376)*$I446,0)</f>
        <v>119810</v>
      </c>
      <c r="N446" s="156"/>
      <c r="O446" s="156">
        <f t="shared" ref="O446:Q457" si="370">ROUND(VLOOKUP($G446,factors,+O$376)*$I446,0)</f>
        <v>32755</v>
      </c>
      <c r="P446" s="156"/>
      <c r="Q446" s="156">
        <f t="shared" si="370"/>
        <v>33091</v>
      </c>
      <c r="R446" s="156"/>
      <c r="S446" s="156">
        <f t="shared" ref="S446:U457" si="371">ROUND(VLOOKUP($G446,factors,+S$376)*$I446,0)</f>
        <v>215592</v>
      </c>
      <c r="T446" s="156"/>
      <c r="U446" s="156">
        <f t="shared" si="371"/>
        <v>53160</v>
      </c>
      <c r="V446" s="156"/>
      <c r="W446" s="156">
        <f t="shared" ref="W446:W457" si="372">ROUND(VLOOKUP($G446,factors,+W$376)*$I446,0)</f>
        <v>0</v>
      </c>
      <c r="X446" s="156"/>
      <c r="Y446" s="156">
        <f t="shared" ref="Y446:Y457" si="373">ROUND(VLOOKUP($G446,factors,+Y$376)*$I446,0)</f>
        <v>0</v>
      </c>
      <c r="Z446" s="156"/>
      <c r="AA446" s="156">
        <f t="shared" ref="AA446:AC457" si="374">ROUND(VLOOKUP($G446,factors,+AA$376)*$I446,0)</f>
        <v>0</v>
      </c>
      <c r="AB446" s="156"/>
      <c r="AC446" s="156">
        <f t="shared" si="374"/>
        <v>0</v>
      </c>
      <c r="AD446" s="156"/>
      <c r="AE446" s="156">
        <f t="shared" ref="AE446:AG457" si="375">ROUND(VLOOKUP($G446,factors,+AE$376)*$I446,0)</f>
        <v>0</v>
      </c>
      <c r="AF446" s="156"/>
      <c r="AG446" s="156">
        <f t="shared" si="375"/>
        <v>0</v>
      </c>
      <c r="AI446" s="157">
        <f t="shared" si="354"/>
        <v>1</v>
      </c>
      <c r="AK446" s="466"/>
    </row>
    <row r="447" spans="1:37">
      <c r="C447" s="159">
        <v>890</v>
      </c>
      <c r="E447" s="222" t="s">
        <v>119</v>
      </c>
      <c r="F447" s="222"/>
      <c r="G447" s="261" t="str">
        <f t="shared" si="367"/>
        <v>6B</v>
      </c>
      <c r="H447" s="222"/>
      <c r="I447" s="262">
        <f>+Linkin!I70</f>
        <v>278825</v>
      </c>
      <c r="K447" s="156">
        <f t="shared" si="368"/>
        <v>0</v>
      </c>
      <c r="M447" s="156">
        <f t="shared" si="369"/>
        <v>0</v>
      </c>
      <c r="N447" s="156"/>
      <c r="O447" s="156">
        <f t="shared" si="370"/>
        <v>0</v>
      </c>
      <c r="P447" s="156"/>
      <c r="Q447" s="156">
        <f t="shared" si="370"/>
        <v>0</v>
      </c>
      <c r="R447" s="156"/>
      <c r="S447" s="156">
        <f t="shared" si="371"/>
        <v>0</v>
      </c>
      <c r="T447" s="156"/>
      <c r="U447" s="156">
        <f t="shared" si="371"/>
        <v>0</v>
      </c>
      <c r="V447" s="156"/>
      <c r="W447" s="156">
        <f t="shared" si="372"/>
        <v>0</v>
      </c>
      <c r="X447" s="156"/>
      <c r="Y447" s="156">
        <f t="shared" si="373"/>
        <v>0</v>
      </c>
      <c r="Z447" s="156"/>
      <c r="AA447" s="156">
        <f t="shared" si="374"/>
        <v>131717</v>
      </c>
      <c r="AB447" s="156"/>
      <c r="AC447" s="156">
        <f t="shared" si="374"/>
        <v>80608</v>
      </c>
      <c r="AD447" s="156"/>
      <c r="AE447" s="156">
        <f t="shared" si="375"/>
        <v>16646</v>
      </c>
      <c r="AF447" s="156"/>
      <c r="AG447" s="156">
        <f t="shared" si="375"/>
        <v>49854</v>
      </c>
      <c r="AI447" s="157">
        <f t="shared" si="354"/>
        <v>0</v>
      </c>
      <c r="AK447" s="466"/>
    </row>
    <row r="448" spans="1:37">
      <c r="C448" s="159">
        <v>891</v>
      </c>
      <c r="E448" s="222" t="s">
        <v>120</v>
      </c>
      <c r="F448" s="222"/>
      <c r="G448" s="261" t="str">
        <f t="shared" si="367"/>
        <v>4A</v>
      </c>
      <c r="H448" s="222"/>
      <c r="I448" s="262">
        <f>+Linkin!I71</f>
        <v>484648</v>
      </c>
      <c r="K448" s="156">
        <f t="shared" si="368"/>
        <v>156541</v>
      </c>
      <c r="M448" s="156">
        <f t="shared" si="369"/>
        <v>86510</v>
      </c>
      <c r="N448" s="156"/>
      <c r="O448" s="156">
        <f t="shared" si="370"/>
        <v>23651</v>
      </c>
      <c r="P448" s="156"/>
      <c r="Q448" s="156">
        <f t="shared" si="370"/>
        <v>23893</v>
      </c>
      <c r="R448" s="156"/>
      <c r="S448" s="156">
        <f t="shared" si="371"/>
        <v>155669</v>
      </c>
      <c r="T448" s="156"/>
      <c r="U448" s="156">
        <f t="shared" si="371"/>
        <v>38384</v>
      </c>
      <c r="V448" s="156"/>
      <c r="W448" s="156">
        <f t="shared" si="372"/>
        <v>0</v>
      </c>
      <c r="X448" s="156"/>
      <c r="Y448" s="156">
        <f t="shared" si="373"/>
        <v>0</v>
      </c>
      <c r="Z448" s="156"/>
      <c r="AA448" s="156">
        <f t="shared" si="374"/>
        <v>0</v>
      </c>
      <c r="AB448" s="156"/>
      <c r="AC448" s="156">
        <f t="shared" si="374"/>
        <v>0</v>
      </c>
      <c r="AD448" s="156"/>
      <c r="AE448" s="156">
        <f t="shared" si="375"/>
        <v>0</v>
      </c>
      <c r="AF448" s="156"/>
      <c r="AG448" s="156">
        <f t="shared" si="375"/>
        <v>0</v>
      </c>
      <c r="AI448" s="157">
        <f t="shared" si="354"/>
        <v>0</v>
      </c>
      <c r="AK448" s="466"/>
    </row>
    <row r="449" spans="1:37">
      <c r="C449" s="159">
        <v>892</v>
      </c>
      <c r="E449" s="222" t="s">
        <v>121</v>
      </c>
      <c r="F449" s="222"/>
      <c r="G449" s="261" t="str">
        <f t="shared" si="367"/>
        <v>6C</v>
      </c>
      <c r="H449" s="222"/>
      <c r="I449" s="262">
        <f>+Linkin!I72</f>
        <v>789834</v>
      </c>
      <c r="K449" s="156">
        <f t="shared" si="368"/>
        <v>0</v>
      </c>
      <c r="M449" s="156">
        <f t="shared" si="369"/>
        <v>0</v>
      </c>
      <c r="N449" s="156"/>
      <c r="O449" s="156">
        <f t="shared" si="370"/>
        <v>0</v>
      </c>
      <c r="P449" s="156"/>
      <c r="Q449" s="156">
        <f t="shared" si="370"/>
        <v>0</v>
      </c>
      <c r="R449" s="156"/>
      <c r="S449" s="156">
        <f t="shared" si="371"/>
        <v>0</v>
      </c>
      <c r="T449" s="156"/>
      <c r="U449" s="156">
        <f t="shared" si="371"/>
        <v>0</v>
      </c>
      <c r="V449" s="156"/>
      <c r="W449" s="156">
        <f t="shared" si="372"/>
        <v>688419</v>
      </c>
      <c r="X449" s="156"/>
      <c r="Y449" s="156">
        <f t="shared" si="373"/>
        <v>91937</v>
      </c>
      <c r="Z449" s="156"/>
      <c r="AA449" s="156">
        <f t="shared" si="374"/>
        <v>3870</v>
      </c>
      <c r="AB449" s="156"/>
      <c r="AC449" s="156">
        <f t="shared" si="374"/>
        <v>4107</v>
      </c>
      <c r="AD449" s="156"/>
      <c r="AE449" s="156">
        <f t="shared" si="375"/>
        <v>316</v>
      </c>
      <c r="AF449" s="156"/>
      <c r="AG449" s="156">
        <f t="shared" si="375"/>
        <v>1185</v>
      </c>
      <c r="AI449" s="157">
        <f t="shared" si="354"/>
        <v>0</v>
      </c>
      <c r="AK449" s="466"/>
    </row>
    <row r="450" spans="1:37">
      <c r="C450" s="159">
        <v>893</v>
      </c>
      <c r="E450" s="222" t="s">
        <v>122</v>
      </c>
      <c r="F450" s="222"/>
      <c r="G450" s="261">
        <f t="shared" si="367"/>
        <v>6</v>
      </c>
      <c r="H450" s="222"/>
      <c r="I450" s="262">
        <f>+Linkin!I73</f>
        <v>1008839</v>
      </c>
      <c r="K450" s="156">
        <f t="shared" si="368"/>
        <v>0</v>
      </c>
      <c r="M450" s="156">
        <f t="shared" si="369"/>
        <v>0</v>
      </c>
      <c r="N450" s="156"/>
      <c r="O450" s="156">
        <f t="shared" si="370"/>
        <v>0</v>
      </c>
      <c r="P450" s="156"/>
      <c r="Q450" s="156">
        <f t="shared" si="370"/>
        <v>0</v>
      </c>
      <c r="R450" s="156"/>
      <c r="S450" s="156">
        <f t="shared" si="371"/>
        <v>0</v>
      </c>
      <c r="T450" s="156"/>
      <c r="U450" s="156">
        <f t="shared" si="371"/>
        <v>0</v>
      </c>
      <c r="V450" s="156"/>
      <c r="W450" s="156">
        <f t="shared" si="372"/>
        <v>442376</v>
      </c>
      <c r="X450" s="156"/>
      <c r="Y450" s="156">
        <f t="shared" si="373"/>
        <v>425125</v>
      </c>
      <c r="Z450" s="156"/>
      <c r="AA450" s="156">
        <f t="shared" si="374"/>
        <v>66785</v>
      </c>
      <c r="AB450" s="156"/>
      <c r="AC450" s="156">
        <f t="shared" si="374"/>
        <v>40858</v>
      </c>
      <c r="AD450" s="156"/>
      <c r="AE450" s="156">
        <f t="shared" si="375"/>
        <v>8474</v>
      </c>
      <c r="AF450" s="156"/>
      <c r="AG450" s="156">
        <f t="shared" si="375"/>
        <v>25221</v>
      </c>
      <c r="AI450" s="157">
        <f t="shared" si="354"/>
        <v>0</v>
      </c>
      <c r="AK450" s="466"/>
    </row>
    <row r="451" spans="1:37">
      <c r="C451" s="159">
        <v>895</v>
      </c>
      <c r="E451" s="246" t="s">
        <v>169</v>
      </c>
      <c r="F451" s="222"/>
      <c r="G451" s="261">
        <f t="shared" si="367"/>
        <v>11</v>
      </c>
      <c r="H451" s="222"/>
      <c r="I451" s="262">
        <f>+Linkin!I74</f>
        <v>338645</v>
      </c>
      <c r="K451" s="156">
        <f t="shared" si="368"/>
        <v>113988</v>
      </c>
      <c r="M451" s="156">
        <f t="shared" si="369"/>
        <v>62886</v>
      </c>
      <c r="N451" s="156"/>
      <c r="O451" s="156">
        <f t="shared" si="370"/>
        <v>17068</v>
      </c>
      <c r="P451" s="156"/>
      <c r="Q451" s="156">
        <f t="shared" si="370"/>
        <v>16831</v>
      </c>
      <c r="R451" s="156"/>
      <c r="S451" s="156">
        <f t="shared" si="371"/>
        <v>22249</v>
      </c>
      <c r="T451" s="156"/>
      <c r="U451" s="156">
        <f t="shared" si="371"/>
        <v>8872</v>
      </c>
      <c r="V451" s="156"/>
      <c r="W451" s="156">
        <f t="shared" si="372"/>
        <v>66171</v>
      </c>
      <c r="X451" s="156"/>
      <c r="Y451" s="156">
        <f t="shared" si="373"/>
        <v>18930</v>
      </c>
      <c r="Z451" s="156"/>
      <c r="AA451" s="156">
        <f t="shared" si="374"/>
        <v>5452</v>
      </c>
      <c r="AB451" s="156"/>
      <c r="AC451" s="156">
        <f t="shared" si="374"/>
        <v>3488</v>
      </c>
      <c r="AD451" s="156"/>
      <c r="AE451" s="156">
        <f t="shared" si="375"/>
        <v>677</v>
      </c>
      <c r="AF451" s="156"/>
      <c r="AG451" s="156">
        <f t="shared" si="375"/>
        <v>2032</v>
      </c>
      <c r="AI451" s="157">
        <f t="shared" si="354"/>
        <v>-1</v>
      </c>
      <c r="AK451" s="466"/>
    </row>
    <row r="452" spans="1:37">
      <c r="C452" s="164">
        <v>894</v>
      </c>
      <c r="D452" s="150"/>
      <c r="E452" s="246" t="s">
        <v>169</v>
      </c>
      <c r="F452" s="222"/>
      <c r="G452" s="261">
        <f>+G90</f>
        <v>11</v>
      </c>
      <c r="H452" s="222"/>
      <c r="I452" s="262">
        <f>+Linkin!I75</f>
        <v>0</v>
      </c>
      <c r="K452" s="156">
        <f t="shared" si="368"/>
        <v>0</v>
      </c>
      <c r="M452" s="156">
        <f t="shared" si="369"/>
        <v>0</v>
      </c>
      <c r="N452" s="156"/>
      <c r="O452" s="156">
        <f t="shared" si="370"/>
        <v>0</v>
      </c>
      <c r="P452" s="156"/>
      <c r="Q452" s="156">
        <f t="shared" si="370"/>
        <v>0</v>
      </c>
      <c r="R452" s="156"/>
      <c r="S452" s="156">
        <f t="shared" si="371"/>
        <v>0</v>
      </c>
      <c r="T452" s="156"/>
      <c r="U452" s="156">
        <f t="shared" si="371"/>
        <v>0</v>
      </c>
      <c r="V452" s="156"/>
      <c r="W452" s="156">
        <f t="shared" si="372"/>
        <v>0</v>
      </c>
      <c r="X452" s="156"/>
      <c r="Y452" s="156">
        <f t="shared" si="373"/>
        <v>0</v>
      </c>
      <c r="Z452" s="156"/>
      <c r="AA452" s="156">
        <f t="shared" si="374"/>
        <v>0</v>
      </c>
      <c r="AB452" s="156"/>
      <c r="AC452" s="156">
        <f t="shared" si="374"/>
        <v>0</v>
      </c>
      <c r="AD452" s="156"/>
      <c r="AE452" s="156">
        <f t="shared" si="375"/>
        <v>0</v>
      </c>
      <c r="AF452" s="156"/>
      <c r="AG452" s="156">
        <f t="shared" si="375"/>
        <v>0</v>
      </c>
      <c r="AI452" s="157">
        <f t="shared" si="354"/>
        <v>0</v>
      </c>
      <c r="AK452" s="466"/>
    </row>
    <row r="453" spans="1:37" s="47" customFormat="1">
      <c r="A453" s="149"/>
      <c r="B453" s="149"/>
      <c r="C453" s="159">
        <v>901</v>
      </c>
      <c r="D453" s="149"/>
      <c r="E453" s="222" t="s">
        <v>167</v>
      </c>
      <c r="F453" s="222"/>
      <c r="G453" s="261">
        <f>+G99</f>
        <v>7</v>
      </c>
      <c r="H453" s="222"/>
      <c r="I453" s="262">
        <f>+Linkin!I81</f>
        <v>518107</v>
      </c>
      <c r="J453" s="149"/>
      <c r="K453" s="156">
        <f t="shared" si="368"/>
        <v>0</v>
      </c>
      <c r="L453" s="149"/>
      <c r="M453" s="156">
        <f t="shared" si="369"/>
        <v>0</v>
      </c>
      <c r="N453" s="156"/>
      <c r="O453" s="156">
        <f t="shared" si="370"/>
        <v>0</v>
      </c>
      <c r="P453" s="156"/>
      <c r="Q453" s="156">
        <f t="shared" si="370"/>
        <v>0</v>
      </c>
      <c r="R453" s="156"/>
      <c r="S453" s="156">
        <f t="shared" si="371"/>
        <v>0</v>
      </c>
      <c r="T453" s="156"/>
      <c r="U453" s="156">
        <f t="shared" si="371"/>
        <v>0</v>
      </c>
      <c r="V453" s="156"/>
      <c r="W453" s="156">
        <f t="shared" si="372"/>
        <v>462929</v>
      </c>
      <c r="X453" s="156"/>
      <c r="Y453" s="156">
        <f t="shared" si="373"/>
        <v>53261</v>
      </c>
      <c r="Z453" s="156"/>
      <c r="AA453" s="156">
        <f t="shared" si="374"/>
        <v>1192</v>
      </c>
      <c r="AB453" s="156"/>
      <c r="AC453" s="156">
        <f t="shared" si="374"/>
        <v>363</v>
      </c>
      <c r="AD453" s="156"/>
      <c r="AE453" s="156">
        <f t="shared" si="375"/>
        <v>52</v>
      </c>
      <c r="AF453" s="156"/>
      <c r="AG453" s="156">
        <f t="shared" si="375"/>
        <v>311</v>
      </c>
      <c r="AH453" s="149"/>
      <c r="AI453" s="157">
        <f t="shared" si="354"/>
        <v>1</v>
      </c>
      <c r="AJ453" s="149"/>
      <c r="AK453" s="466"/>
    </row>
    <row r="454" spans="1:37">
      <c r="C454" s="159">
        <v>902</v>
      </c>
      <c r="E454" s="222" t="s">
        <v>123</v>
      </c>
      <c r="F454" s="222"/>
      <c r="G454" s="261">
        <f>+G100</f>
        <v>7</v>
      </c>
      <c r="H454" s="222"/>
      <c r="I454" s="262">
        <f>+Linkin!I82</f>
        <v>1984218</v>
      </c>
      <c r="K454" s="156">
        <f t="shared" si="368"/>
        <v>0</v>
      </c>
      <c r="M454" s="156">
        <f t="shared" si="369"/>
        <v>0</v>
      </c>
      <c r="N454" s="156"/>
      <c r="O454" s="156">
        <f t="shared" si="370"/>
        <v>0</v>
      </c>
      <c r="P454" s="156"/>
      <c r="Q454" s="156">
        <f t="shared" si="370"/>
        <v>0</v>
      </c>
      <c r="R454" s="156"/>
      <c r="S454" s="156">
        <f t="shared" si="371"/>
        <v>0</v>
      </c>
      <c r="T454" s="156"/>
      <c r="U454" s="156">
        <f t="shared" si="371"/>
        <v>0</v>
      </c>
      <c r="V454" s="156"/>
      <c r="W454" s="156">
        <f t="shared" si="372"/>
        <v>1772899</v>
      </c>
      <c r="X454" s="156"/>
      <c r="Y454" s="156">
        <f t="shared" si="373"/>
        <v>203978</v>
      </c>
      <c r="Z454" s="156"/>
      <c r="AA454" s="156">
        <f t="shared" si="374"/>
        <v>4564</v>
      </c>
      <c r="AB454" s="156"/>
      <c r="AC454" s="156">
        <f t="shared" si="374"/>
        <v>1389</v>
      </c>
      <c r="AD454" s="156"/>
      <c r="AE454" s="156">
        <f t="shared" si="375"/>
        <v>198</v>
      </c>
      <c r="AF454" s="156"/>
      <c r="AG454" s="156">
        <f t="shared" si="375"/>
        <v>1191</v>
      </c>
      <c r="AI454" s="157">
        <f t="shared" si="354"/>
        <v>1</v>
      </c>
      <c r="AK454" s="466"/>
    </row>
    <row r="455" spans="1:37">
      <c r="C455" s="159">
        <v>903</v>
      </c>
      <c r="E455" s="222" t="s">
        <v>124</v>
      </c>
      <c r="F455" s="222"/>
      <c r="G455" s="261">
        <f>+G101</f>
        <v>7</v>
      </c>
      <c r="H455" s="222"/>
      <c r="I455" s="262">
        <f>+Linkin!I83</f>
        <v>11527122</v>
      </c>
      <c r="K455" s="156">
        <f t="shared" si="368"/>
        <v>0</v>
      </c>
      <c r="M455" s="156">
        <f t="shared" si="369"/>
        <v>0</v>
      </c>
      <c r="N455" s="156"/>
      <c r="O455" s="156">
        <f t="shared" si="370"/>
        <v>0</v>
      </c>
      <c r="P455" s="156"/>
      <c r="Q455" s="156">
        <f t="shared" si="370"/>
        <v>0</v>
      </c>
      <c r="R455" s="156"/>
      <c r="S455" s="156">
        <f t="shared" si="371"/>
        <v>0</v>
      </c>
      <c r="T455" s="156"/>
      <c r="U455" s="156">
        <f t="shared" si="371"/>
        <v>0</v>
      </c>
      <c r="V455" s="156"/>
      <c r="W455" s="156">
        <f t="shared" si="372"/>
        <v>10299484</v>
      </c>
      <c r="X455" s="156"/>
      <c r="Y455" s="156">
        <f t="shared" si="373"/>
        <v>1184988</v>
      </c>
      <c r="Z455" s="156"/>
      <c r="AA455" s="156">
        <f t="shared" si="374"/>
        <v>26512</v>
      </c>
      <c r="AB455" s="156"/>
      <c r="AC455" s="156">
        <f t="shared" si="374"/>
        <v>8069</v>
      </c>
      <c r="AD455" s="156"/>
      <c r="AE455" s="156">
        <f t="shared" si="375"/>
        <v>1153</v>
      </c>
      <c r="AF455" s="156"/>
      <c r="AG455" s="156">
        <f t="shared" si="375"/>
        <v>6916</v>
      </c>
      <c r="AI455" s="157">
        <f t="shared" si="354"/>
        <v>0</v>
      </c>
      <c r="AK455" s="466"/>
    </row>
    <row r="456" spans="1:37">
      <c r="A456" s="287"/>
      <c r="C456" s="159">
        <v>905</v>
      </c>
      <c r="E456" s="222" t="s">
        <v>311</v>
      </c>
      <c r="F456" s="222"/>
      <c r="G456" s="261">
        <f>+G104</f>
        <v>7</v>
      </c>
      <c r="H456" s="222"/>
      <c r="I456" s="262">
        <f>+Linkin!I85</f>
        <v>1584738</v>
      </c>
      <c r="K456" s="156">
        <f t="shared" si="368"/>
        <v>0</v>
      </c>
      <c r="M456" s="156">
        <f t="shared" si="369"/>
        <v>0</v>
      </c>
      <c r="N456" s="156"/>
      <c r="O456" s="156">
        <f t="shared" si="370"/>
        <v>0</v>
      </c>
      <c r="P456" s="156"/>
      <c r="Q456" s="156">
        <f t="shared" si="370"/>
        <v>0</v>
      </c>
      <c r="R456" s="156"/>
      <c r="S456" s="156">
        <f t="shared" si="371"/>
        <v>0</v>
      </c>
      <c r="T456" s="156"/>
      <c r="U456" s="156">
        <f t="shared" si="371"/>
        <v>0</v>
      </c>
      <c r="V456" s="156"/>
      <c r="W456" s="156">
        <f t="shared" si="372"/>
        <v>1415963</v>
      </c>
      <c r="X456" s="156"/>
      <c r="Y456" s="156">
        <f t="shared" si="373"/>
        <v>162911</v>
      </c>
      <c r="Z456" s="156"/>
      <c r="AA456" s="156">
        <f t="shared" si="374"/>
        <v>3645</v>
      </c>
      <c r="AB456" s="156"/>
      <c r="AC456" s="156">
        <f t="shared" si="374"/>
        <v>1109</v>
      </c>
      <c r="AD456" s="156"/>
      <c r="AE456" s="156">
        <f t="shared" si="375"/>
        <v>158</v>
      </c>
      <c r="AF456" s="156"/>
      <c r="AG456" s="156">
        <f t="shared" si="375"/>
        <v>951</v>
      </c>
      <c r="AI456" s="157">
        <f t="shared" ref="AI456" si="376">SUM(K456:AG456)-I456</f>
        <v>-1</v>
      </c>
      <c r="AK456" s="466"/>
    </row>
    <row r="457" spans="1:37" s="47" customFormat="1">
      <c r="A457" s="149"/>
      <c r="B457" s="149"/>
      <c r="C457" s="159">
        <v>907</v>
      </c>
      <c r="D457" s="149"/>
      <c r="E457" s="110" t="s">
        <v>167</v>
      </c>
      <c r="F457" s="222"/>
      <c r="G457" s="261">
        <f>+G110</f>
        <v>7</v>
      </c>
      <c r="H457" s="222"/>
      <c r="I457" s="262">
        <f>+Linkin!I89</f>
        <v>198726</v>
      </c>
      <c r="J457" s="149"/>
      <c r="K457" s="156">
        <f t="shared" si="368"/>
        <v>0</v>
      </c>
      <c r="L457" s="149"/>
      <c r="M457" s="156">
        <f t="shared" si="369"/>
        <v>0</v>
      </c>
      <c r="N457" s="156"/>
      <c r="O457" s="156">
        <f t="shared" si="370"/>
        <v>0</v>
      </c>
      <c r="P457" s="156"/>
      <c r="Q457" s="156">
        <f t="shared" si="370"/>
        <v>0</v>
      </c>
      <c r="R457" s="156"/>
      <c r="S457" s="156">
        <f t="shared" si="371"/>
        <v>0</v>
      </c>
      <c r="T457" s="156"/>
      <c r="U457" s="156">
        <f t="shared" si="371"/>
        <v>0</v>
      </c>
      <c r="V457" s="156"/>
      <c r="W457" s="156">
        <f t="shared" si="372"/>
        <v>177562</v>
      </c>
      <c r="X457" s="156"/>
      <c r="Y457" s="156">
        <f t="shared" si="373"/>
        <v>20429</v>
      </c>
      <c r="Z457" s="156"/>
      <c r="AA457" s="156">
        <f t="shared" si="374"/>
        <v>457</v>
      </c>
      <c r="AB457" s="156"/>
      <c r="AC457" s="156">
        <f t="shared" si="374"/>
        <v>139</v>
      </c>
      <c r="AD457" s="156"/>
      <c r="AE457" s="156">
        <f t="shared" si="375"/>
        <v>20</v>
      </c>
      <c r="AF457" s="156"/>
      <c r="AG457" s="156">
        <f t="shared" si="375"/>
        <v>119</v>
      </c>
      <c r="AH457" s="149"/>
      <c r="AI457" s="157">
        <f t="shared" si="354"/>
        <v>0</v>
      </c>
      <c r="AJ457" s="149"/>
      <c r="AK457" s="466"/>
    </row>
    <row r="458" spans="1:37" s="47" customFormat="1">
      <c r="A458" s="149"/>
      <c r="B458" s="149"/>
      <c r="C458" s="159">
        <v>908</v>
      </c>
      <c r="D458" s="149"/>
      <c r="E458" s="222" t="s">
        <v>125</v>
      </c>
      <c r="F458" s="222"/>
      <c r="G458" s="261">
        <f>+G111</f>
        <v>9</v>
      </c>
      <c r="H458" s="222"/>
      <c r="I458" s="262">
        <f>+Linkin!I90</f>
        <v>1386012</v>
      </c>
      <c r="J458" s="149"/>
      <c r="K458" s="156">
        <f t="shared" ref="K458:K473" si="377">ROUND(VLOOKUP($G458,factors,+K$376)*$I458,0)</f>
        <v>0</v>
      </c>
      <c r="L458" s="149"/>
      <c r="M458" s="156">
        <f t="shared" ref="M458:M473" si="378">ROUND(VLOOKUP($G458,factors,+M$376)*$I458,0)</f>
        <v>0</v>
      </c>
      <c r="N458" s="156"/>
      <c r="O458" s="156">
        <f t="shared" ref="O458:Q473" si="379">ROUND(VLOOKUP($G458,factors,+O$376)*$I458,0)</f>
        <v>0</v>
      </c>
      <c r="P458" s="156"/>
      <c r="Q458" s="156">
        <f t="shared" si="379"/>
        <v>0</v>
      </c>
      <c r="R458" s="156"/>
      <c r="S458" s="156">
        <f t="shared" ref="S458:U473" si="380">ROUND(VLOOKUP($G458,factors,+S$376)*$I458,0)</f>
        <v>0</v>
      </c>
      <c r="T458" s="156"/>
      <c r="U458" s="156">
        <f t="shared" si="380"/>
        <v>0</v>
      </c>
      <c r="V458" s="156"/>
      <c r="W458" s="156">
        <f t="shared" ref="W458:W473" si="381">ROUND(VLOOKUP($G458,factors,+W$376)*$I458,0)</f>
        <v>1386012</v>
      </c>
      <c r="X458" s="156"/>
      <c r="Y458" s="156">
        <f t="shared" ref="Y458:Y473" si="382">ROUND(VLOOKUP($G458,factors,+Y$376)*$I458,0)</f>
        <v>0</v>
      </c>
      <c r="Z458" s="156"/>
      <c r="AA458" s="156">
        <f t="shared" ref="AA458:AC473" si="383">ROUND(VLOOKUP($G458,factors,+AA$376)*$I458,0)</f>
        <v>0</v>
      </c>
      <c r="AB458" s="156"/>
      <c r="AC458" s="156">
        <f t="shared" si="383"/>
        <v>0</v>
      </c>
      <c r="AD458" s="156"/>
      <c r="AE458" s="156">
        <f t="shared" ref="AE458:AG473" si="384">ROUND(VLOOKUP($G458,factors,+AE$376)*$I458,0)</f>
        <v>0</v>
      </c>
      <c r="AF458" s="156"/>
      <c r="AG458" s="156">
        <f t="shared" si="384"/>
        <v>0</v>
      </c>
      <c r="AH458" s="149"/>
      <c r="AI458" s="157">
        <f t="shared" si="354"/>
        <v>0</v>
      </c>
      <c r="AJ458" s="149"/>
      <c r="AK458" s="466"/>
    </row>
    <row r="459" spans="1:37" s="47" customFormat="1">
      <c r="A459" s="287"/>
      <c r="B459" s="149"/>
      <c r="C459" s="159">
        <v>910</v>
      </c>
      <c r="D459" s="149"/>
      <c r="E459" s="428" t="s">
        <v>541</v>
      </c>
      <c r="F459" s="222"/>
      <c r="G459" s="261">
        <f>+G114</f>
        <v>7</v>
      </c>
      <c r="H459" s="222"/>
      <c r="I459" s="262">
        <f>+Linkin!I92</f>
        <v>273755</v>
      </c>
      <c r="J459" s="149"/>
      <c r="K459" s="156">
        <f t="shared" si="377"/>
        <v>0</v>
      </c>
      <c r="L459" s="149"/>
      <c r="M459" s="156">
        <f t="shared" si="378"/>
        <v>0</v>
      </c>
      <c r="N459" s="156"/>
      <c r="O459" s="156">
        <f t="shared" si="379"/>
        <v>0</v>
      </c>
      <c r="P459" s="156"/>
      <c r="Q459" s="156">
        <f t="shared" si="379"/>
        <v>0</v>
      </c>
      <c r="R459" s="156"/>
      <c r="S459" s="156">
        <f t="shared" si="380"/>
        <v>0</v>
      </c>
      <c r="T459" s="156"/>
      <c r="U459" s="156">
        <f t="shared" si="380"/>
        <v>0</v>
      </c>
      <c r="V459" s="156"/>
      <c r="W459" s="156">
        <f t="shared" si="381"/>
        <v>244600</v>
      </c>
      <c r="X459" s="156"/>
      <c r="Y459" s="156">
        <f t="shared" si="382"/>
        <v>28142</v>
      </c>
      <c r="Z459" s="156"/>
      <c r="AA459" s="156">
        <f t="shared" si="383"/>
        <v>630</v>
      </c>
      <c r="AB459" s="156"/>
      <c r="AC459" s="156">
        <f t="shared" si="383"/>
        <v>192</v>
      </c>
      <c r="AD459" s="156"/>
      <c r="AE459" s="156">
        <f t="shared" si="384"/>
        <v>27</v>
      </c>
      <c r="AF459" s="156"/>
      <c r="AG459" s="156">
        <f t="shared" si="384"/>
        <v>164</v>
      </c>
      <c r="AH459" s="149"/>
      <c r="AI459" s="157">
        <f t="shared" si="354"/>
        <v>0</v>
      </c>
      <c r="AJ459" s="149"/>
      <c r="AK459" s="466"/>
    </row>
    <row r="460" spans="1:37" s="47" customFormat="1">
      <c r="A460" s="149"/>
      <c r="B460" s="149"/>
      <c r="C460" s="159">
        <v>911</v>
      </c>
      <c r="D460" s="149"/>
      <c r="E460" s="222" t="s">
        <v>167</v>
      </c>
      <c r="F460" s="222"/>
      <c r="G460" s="261">
        <f>+G120</f>
        <v>8</v>
      </c>
      <c r="H460" s="222"/>
      <c r="I460" s="262">
        <f>+Linkin!I96</f>
        <v>54751</v>
      </c>
      <c r="J460" s="149"/>
      <c r="K460" s="156">
        <f t="shared" si="377"/>
        <v>0</v>
      </c>
      <c r="L460" s="149"/>
      <c r="M460" s="156">
        <f t="shared" si="378"/>
        <v>0</v>
      </c>
      <c r="N460" s="156"/>
      <c r="O460" s="156">
        <f t="shared" si="379"/>
        <v>0</v>
      </c>
      <c r="P460" s="156"/>
      <c r="Q460" s="156">
        <f t="shared" si="379"/>
        <v>0</v>
      </c>
      <c r="R460" s="156"/>
      <c r="S460" s="156">
        <f t="shared" si="380"/>
        <v>0</v>
      </c>
      <c r="T460" s="156"/>
      <c r="U460" s="156">
        <f t="shared" si="380"/>
        <v>0</v>
      </c>
      <c r="V460" s="156"/>
      <c r="W460" s="156">
        <f t="shared" si="381"/>
        <v>49101</v>
      </c>
      <c r="X460" s="156"/>
      <c r="Y460" s="156">
        <f t="shared" si="382"/>
        <v>5650</v>
      </c>
      <c r="Z460" s="156"/>
      <c r="AA460" s="156">
        <f t="shared" si="383"/>
        <v>0</v>
      </c>
      <c r="AB460" s="156"/>
      <c r="AC460" s="156">
        <f t="shared" si="383"/>
        <v>0</v>
      </c>
      <c r="AD460" s="156"/>
      <c r="AE460" s="156">
        <f t="shared" si="384"/>
        <v>0</v>
      </c>
      <c r="AF460" s="156"/>
      <c r="AG460" s="156">
        <f t="shared" si="384"/>
        <v>0</v>
      </c>
      <c r="AH460" s="149"/>
      <c r="AI460" s="157">
        <f t="shared" si="354"/>
        <v>0</v>
      </c>
      <c r="AJ460" s="149"/>
      <c r="AK460" s="466"/>
    </row>
    <row r="461" spans="1:37" s="47" customFormat="1">
      <c r="A461" s="149"/>
      <c r="B461" s="149"/>
      <c r="C461" s="159">
        <v>912</v>
      </c>
      <c r="D461" s="149"/>
      <c r="E461" s="222" t="s">
        <v>126</v>
      </c>
      <c r="F461" s="222"/>
      <c r="G461" s="261">
        <f>+G121</f>
        <v>8</v>
      </c>
      <c r="H461" s="222"/>
      <c r="I461" s="262">
        <f>+Linkin!I97</f>
        <v>671207</v>
      </c>
      <c r="J461" s="149"/>
      <c r="K461" s="156">
        <f t="shared" si="377"/>
        <v>0</v>
      </c>
      <c r="L461" s="149"/>
      <c r="M461" s="156">
        <f t="shared" si="378"/>
        <v>0</v>
      </c>
      <c r="N461" s="156"/>
      <c r="O461" s="156">
        <f t="shared" si="379"/>
        <v>0</v>
      </c>
      <c r="P461" s="156"/>
      <c r="Q461" s="156">
        <f t="shared" si="379"/>
        <v>0</v>
      </c>
      <c r="R461" s="156"/>
      <c r="S461" s="156">
        <f t="shared" si="380"/>
        <v>0</v>
      </c>
      <c r="T461" s="156"/>
      <c r="U461" s="156">
        <f t="shared" si="380"/>
        <v>0</v>
      </c>
      <c r="V461" s="156"/>
      <c r="W461" s="156">
        <f t="shared" si="381"/>
        <v>601938</v>
      </c>
      <c r="X461" s="156"/>
      <c r="Y461" s="156">
        <f t="shared" si="382"/>
        <v>69269</v>
      </c>
      <c r="Z461" s="156"/>
      <c r="AA461" s="156">
        <f t="shared" si="383"/>
        <v>0</v>
      </c>
      <c r="AB461" s="156"/>
      <c r="AC461" s="156">
        <f t="shared" si="383"/>
        <v>0</v>
      </c>
      <c r="AD461" s="156"/>
      <c r="AE461" s="156">
        <f t="shared" si="384"/>
        <v>0</v>
      </c>
      <c r="AF461" s="156"/>
      <c r="AG461" s="156">
        <f t="shared" si="384"/>
        <v>0</v>
      </c>
      <c r="AH461" s="149"/>
      <c r="AI461" s="157">
        <f t="shared" si="354"/>
        <v>0</v>
      </c>
      <c r="AJ461" s="149"/>
      <c r="AK461" s="466"/>
    </row>
    <row r="462" spans="1:37">
      <c r="C462" s="159">
        <v>920</v>
      </c>
      <c r="E462" s="222" t="s">
        <v>127</v>
      </c>
      <c r="F462" s="222"/>
      <c r="G462" s="261">
        <f>+G130</f>
        <v>12</v>
      </c>
      <c r="H462" s="222"/>
      <c r="I462" s="262">
        <f>+Linkin!I106</f>
        <v>19201393</v>
      </c>
      <c r="K462" s="156">
        <f t="shared" si="377"/>
        <v>5670171</v>
      </c>
      <c r="M462" s="156">
        <f t="shared" si="378"/>
        <v>1897098</v>
      </c>
      <c r="N462" s="156"/>
      <c r="O462" s="156">
        <f t="shared" si="379"/>
        <v>443552</v>
      </c>
      <c r="P462" s="156"/>
      <c r="Q462" s="156">
        <f t="shared" si="379"/>
        <v>439712</v>
      </c>
      <c r="R462" s="156"/>
      <c r="S462" s="156">
        <f t="shared" si="380"/>
        <v>758455</v>
      </c>
      <c r="T462" s="156"/>
      <c r="U462" s="156">
        <f t="shared" si="380"/>
        <v>268820</v>
      </c>
      <c r="V462" s="156"/>
      <c r="W462" s="156">
        <f t="shared" si="381"/>
        <v>7742002</v>
      </c>
      <c r="X462" s="156"/>
      <c r="Y462" s="156">
        <f t="shared" si="382"/>
        <v>1470827</v>
      </c>
      <c r="Z462" s="156"/>
      <c r="AA462" s="156">
        <f t="shared" si="383"/>
        <v>234257</v>
      </c>
      <c r="AB462" s="156"/>
      <c r="AC462" s="156">
        <f t="shared" si="383"/>
        <v>157451</v>
      </c>
      <c r="AD462" s="156"/>
      <c r="AE462" s="156">
        <f t="shared" si="384"/>
        <v>32642</v>
      </c>
      <c r="AF462" s="156"/>
      <c r="AG462" s="156">
        <f t="shared" si="384"/>
        <v>86406</v>
      </c>
      <c r="AI462" s="157">
        <f t="shared" si="354"/>
        <v>0</v>
      </c>
      <c r="AK462" s="466"/>
    </row>
    <row r="463" spans="1:37">
      <c r="C463" s="159">
        <v>921</v>
      </c>
      <c r="E463" s="222" t="s">
        <v>128</v>
      </c>
      <c r="F463" s="222"/>
      <c r="G463" s="261">
        <f>+G131</f>
        <v>12</v>
      </c>
      <c r="H463" s="222"/>
      <c r="I463" s="262">
        <f>+Linkin!I107</f>
        <v>117613</v>
      </c>
      <c r="K463" s="156">
        <f t="shared" si="377"/>
        <v>34731</v>
      </c>
      <c r="M463" s="156">
        <f t="shared" si="378"/>
        <v>11620</v>
      </c>
      <c r="N463" s="156"/>
      <c r="O463" s="156">
        <f t="shared" si="379"/>
        <v>2717</v>
      </c>
      <c r="P463" s="156"/>
      <c r="Q463" s="156">
        <f t="shared" si="379"/>
        <v>2693</v>
      </c>
      <c r="R463" s="156"/>
      <c r="S463" s="156">
        <f t="shared" si="380"/>
        <v>4646</v>
      </c>
      <c r="T463" s="156"/>
      <c r="U463" s="156">
        <f t="shared" si="380"/>
        <v>1647</v>
      </c>
      <c r="V463" s="156"/>
      <c r="W463" s="156">
        <f t="shared" si="381"/>
        <v>47422</v>
      </c>
      <c r="X463" s="156"/>
      <c r="Y463" s="156">
        <f t="shared" si="382"/>
        <v>9009</v>
      </c>
      <c r="Z463" s="156"/>
      <c r="AA463" s="156">
        <f t="shared" si="383"/>
        <v>1435</v>
      </c>
      <c r="AB463" s="156"/>
      <c r="AC463" s="156">
        <f t="shared" si="383"/>
        <v>964</v>
      </c>
      <c r="AD463" s="156"/>
      <c r="AE463" s="156">
        <f t="shared" si="384"/>
        <v>200</v>
      </c>
      <c r="AF463" s="156"/>
      <c r="AG463" s="156">
        <f t="shared" si="384"/>
        <v>529</v>
      </c>
      <c r="AI463" s="157">
        <f t="shared" si="354"/>
        <v>0</v>
      </c>
      <c r="AK463" s="466"/>
    </row>
    <row r="464" spans="1:37">
      <c r="A464" s="287"/>
      <c r="C464" s="159">
        <v>922</v>
      </c>
      <c r="E464" s="949" t="s">
        <v>788</v>
      </c>
      <c r="F464" s="260"/>
      <c r="G464" s="392">
        <v>12</v>
      </c>
      <c r="H464" s="222"/>
      <c r="I464" s="262">
        <f>+Linkin!I108</f>
        <v>0</v>
      </c>
      <c r="K464" s="156">
        <f t="shared" si="377"/>
        <v>0</v>
      </c>
      <c r="M464" s="156">
        <f t="shared" si="378"/>
        <v>0</v>
      </c>
      <c r="N464" s="156"/>
      <c r="O464" s="156">
        <f t="shared" si="379"/>
        <v>0</v>
      </c>
      <c r="P464" s="156"/>
      <c r="Q464" s="156">
        <f t="shared" si="379"/>
        <v>0</v>
      </c>
      <c r="R464" s="156"/>
      <c r="S464" s="156">
        <f t="shared" si="380"/>
        <v>0</v>
      </c>
      <c r="T464" s="156"/>
      <c r="U464" s="156">
        <f t="shared" si="380"/>
        <v>0</v>
      </c>
      <c r="V464" s="156"/>
      <c r="W464" s="156">
        <f t="shared" si="381"/>
        <v>0</v>
      </c>
      <c r="X464" s="156"/>
      <c r="Y464" s="156">
        <f t="shared" si="382"/>
        <v>0</v>
      </c>
      <c r="Z464" s="156"/>
      <c r="AA464" s="156">
        <f t="shared" si="383"/>
        <v>0</v>
      </c>
      <c r="AB464" s="156"/>
      <c r="AC464" s="156">
        <f t="shared" si="383"/>
        <v>0</v>
      </c>
      <c r="AD464" s="156"/>
      <c r="AE464" s="156">
        <f t="shared" si="384"/>
        <v>0</v>
      </c>
      <c r="AF464" s="156"/>
      <c r="AG464" s="156">
        <f t="shared" si="384"/>
        <v>0</v>
      </c>
      <c r="AI464" s="157"/>
      <c r="AK464" s="466"/>
    </row>
    <row r="465" spans="1:37">
      <c r="C465" s="159">
        <v>923</v>
      </c>
      <c r="E465" s="859" t="s">
        <v>96</v>
      </c>
      <c r="F465" s="260"/>
      <c r="G465" s="392">
        <v>12</v>
      </c>
      <c r="H465" s="222"/>
      <c r="I465" s="262">
        <f>+Linkin!I109</f>
        <v>48668</v>
      </c>
      <c r="K465" s="156">
        <f t="shared" si="377"/>
        <v>14372</v>
      </c>
      <c r="M465" s="156">
        <f t="shared" si="378"/>
        <v>4808</v>
      </c>
      <c r="N465" s="156"/>
      <c r="O465" s="156">
        <f t="shared" si="379"/>
        <v>1124</v>
      </c>
      <c r="P465" s="156"/>
      <c r="Q465" s="156">
        <f t="shared" si="379"/>
        <v>1114</v>
      </c>
      <c r="R465" s="156"/>
      <c r="S465" s="156">
        <f t="shared" si="380"/>
        <v>1922</v>
      </c>
      <c r="T465" s="156"/>
      <c r="U465" s="156">
        <f t="shared" si="380"/>
        <v>681</v>
      </c>
      <c r="V465" s="156"/>
      <c r="W465" s="156">
        <f t="shared" si="381"/>
        <v>19623</v>
      </c>
      <c r="X465" s="156"/>
      <c r="Y465" s="156">
        <f t="shared" si="382"/>
        <v>3728</v>
      </c>
      <c r="Z465" s="156"/>
      <c r="AA465" s="156">
        <f t="shared" si="383"/>
        <v>594</v>
      </c>
      <c r="AB465" s="156"/>
      <c r="AC465" s="156">
        <f t="shared" si="383"/>
        <v>399</v>
      </c>
      <c r="AD465" s="156"/>
      <c r="AE465" s="156">
        <f t="shared" si="384"/>
        <v>83</v>
      </c>
      <c r="AF465" s="156"/>
      <c r="AG465" s="156">
        <f t="shared" si="384"/>
        <v>219</v>
      </c>
      <c r="AI465" s="157"/>
      <c r="AK465" s="466"/>
    </row>
    <row r="466" spans="1:37">
      <c r="C466" s="159">
        <v>924</v>
      </c>
      <c r="E466" s="859" t="s">
        <v>97</v>
      </c>
      <c r="F466" s="260"/>
      <c r="G466" s="392">
        <v>12</v>
      </c>
      <c r="H466" s="222"/>
      <c r="I466" s="262">
        <f>+Linkin!I110</f>
        <v>0</v>
      </c>
      <c r="K466" s="156">
        <f t="shared" si="377"/>
        <v>0</v>
      </c>
      <c r="M466" s="156">
        <f t="shared" si="378"/>
        <v>0</v>
      </c>
      <c r="N466" s="156"/>
      <c r="O466" s="156">
        <f t="shared" si="379"/>
        <v>0</v>
      </c>
      <c r="P466" s="156"/>
      <c r="Q466" s="156">
        <f t="shared" si="379"/>
        <v>0</v>
      </c>
      <c r="R466" s="156"/>
      <c r="S466" s="156">
        <f t="shared" si="380"/>
        <v>0</v>
      </c>
      <c r="T466" s="156"/>
      <c r="U466" s="156">
        <f t="shared" si="380"/>
        <v>0</v>
      </c>
      <c r="V466" s="156"/>
      <c r="W466" s="156">
        <f t="shared" si="381"/>
        <v>0</v>
      </c>
      <c r="X466" s="156"/>
      <c r="Y466" s="156">
        <f t="shared" si="382"/>
        <v>0</v>
      </c>
      <c r="Z466" s="156"/>
      <c r="AA466" s="156">
        <f t="shared" si="383"/>
        <v>0</v>
      </c>
      <c r="AB466" s="156"/>
      <c r="AC466" s="156">
        <f t="shared" si="383"/>
        <v>0</v>
      </c>
      <c r="AD466" s="156"/>
      <c r="AE466" s="156">
        <f t="shared" si="384"/>
        <v>0</v>
      </c>
      <c r="AF466" s="156"/>
      <c r="AG466" s="156">
        <f t="shared" si="384"/>
        <v>0</v>
      </c>
      <c r="AI466" s="157"/>
      <c r="AK466" s="466"/>
    </row>
    <row r="467" spans="1:37">
      <c r="C467" s="159">
        <v>925</v>
      </c>
      <c r="E467" s="859" t="s">
        <v>98</v>
      </c>
      <c r="F467" s="260"/>
      <c r="G467" s="392">
        <v>12</v>
      </c>
      <c r="H467" s="222"/>
      <c r="I467" s="262">
        <f>+Linkin!I111</f>
        <v>1165994</v>
      </c>
      <c r="K467" s="156">
        <f t="shared" si="377"/>
        <v>344318</v>
      </c>
      <c r="M467" s="156">
        <f t="shared" si="378"/>
        <v>115200</v>
      </c>
      <c r="N467" s="156"/>
      <c r="O467" s="156">
        <f t="shared" si="379"/>
        <v>26934</v>
      </c>
      <c r="P467" s="156"/>
      <c r="Q467" s="156">
        <f t="shared" si="379"/>
        <v>26701</v>
      </c>
      <c r="R467" s="156"/>
      <c r="S467" s="156">
        <f t="shared" si="380"/>
        <v>46057</v>
      </c>
      <c r="T467" s="156"/>
      <c r="U467" s="156">
        <f t="shared" si="380"/>
        <v>16324</v>
      </c>
      <c r="V467" s="156"/>
      <c r="W467" s="156">
        <f t="shared" si="381"/>
        <v>470129</v>
      </c>
      <c r="X467" s="156"/>
      <c r="Y467" s="156">
        <f t="shared" si="382"/>
        <v>89315</v>
      </c>
      <c r="Z467" s="156"/>
      <c r="AA467" s="156">
        <f t="shared" si="383"/>
        <v>14225</v>
      </c>
      <c r="AB467" s="156"/>
      <c r="AC467" s="156">
        <f t="shared" si="383"/>
        <v>9561</v>
      </c>
      <c r="AD467" s="156"/>
      <c r="AE467" s="156">
        <f t="shared" si="384"/>
        <v>1982</v>
      </c>
      <c r="AF467" s="156"/>
      <c r="AG467" s="156">
        <f t="shared" si="384"/>
        <v>5247</v>
      </c>
      <c r="AI467" s="157"/>
      <c r="AK467" s="466"/>
    </row>
    <row r="468" spans="1:37">
      <c r="C468" s="159">
        <v>927</v>
      </c>
      <c r="E468" s="859" t="s">
        <v>789</v>
      </c>
      <c r="F468" s="260"/>
      <c r="G468" s="392">
        <v>12</v>
      </c>
      <c r="H468" s="222"/>
      <c r="I468" s="262">
        <f>+Linkin!I113</f>
        <v>0</v>
      </c>
      <c r="K468" s="156">
        <f t="shared" si="377"/>
        <v>0</v>
      </c>
      <c r="M468" s="156">
        <f t="shared" si="378"/>
        <v>0</v>
      </c>
      <c r="N468" s="156"/>
      <c r="O468" s="156">
        <f t="shared" si="379"/>
        <v>0</v>
      </c>
      <c r="P468" s="156"/>
      <c r="Q468" s="156">
        <f t="shared" si="379"/>
        <v>0</v>
      </c>
      <c r="R468" s="156"/>
      <c r="S468" s="156">
        <f t="shared" si="380"/>
        <v>0</v>
      </c>
      <c r="T468" s="156"/>
      <c r="U468" s="156">
        <f t="shared" si="380"/>
        <v>0</v>
      </c>
      <c r="V468" s="156"/>
      <c r="W468" s="156">
        <f t="shared" si="381"/>
        <v>0</v>
      </c>
      <c r="X468" s="156"/>
      <c r="Y468" s="156">
        <f t="shared" si="382"/>
        <v>0</v>
      </c>
      <c r="Z468" s="156"/>
      <c r="AA468" s="156">
        <f t="shared" si="383"/>
        <v>0</v>
      </c>
      <c r="AB468" s="156"/>
      <c r="AC468" s="156">
        <f t="shared" si="383"/>
        <v>0</v>
      </c>
      <c r="AD468" s="156"/>
      <c r="AE468" s="156">
        <f t="shared" si="384"/>
        <v>0</v>
      </c>
      <c r="AF468" s="156"/>
      <c r="AG468" s="156">
        <f t="shared" si="384"/>
        <v>0</v>
      </c>
      <c r="AI468" s="157"/>
      <c r="AK468" s="466"/>
    </row>
    <row r="469" spans="1:37">
      <c r="C469" s="159">
        <v>928</v>
      </c>
      <c r="E469" s="859" t="s">
        <v>100</v>
      </c>
      <c r="F469" s="260"/>
      <c r="G469" s="392">
        <v>12</v>
      </c>
      <c r="H469" s="222"/>
      <c r="I469" s="262">
        <f>+Linkin!I114</f>
        <v>0</v>
      </c>
      <c r="K469" s="156">
        <f t="shared" si="377"/>
        <v>0</v>
      </c>
      <c r="M469" s="156">
        <f t="shared" si="378"/>
        <v>0</v>
      </c>
      <c r="N469" s="156"/>
      <c r="O469" s="156">
        <f t="shared" si="379"/>
        <v>0</v>
      </c>
      <c r="P469" s="156"/>
      <c r="Q469" s="156">
        <f t="shared" si="379"/>
        <v>0</v>
      </c>
      <c r="R469" s="156"/>
      <c r="S469" s="156">
        <f t="shared" si="380"/>
        <v>0</v>
      </c>
      <c r="T469" s="156"/>
      <c r="U469" s="156">
        <f t="shared" si="380"/>
        <v>0</v>
      </c>
      <c r="V469" s="156"/>
      <c r="W469" s="156">
        <f t="shared" si="381"/>
        <v>0</v>
      </c>
      <c r="X469" s="156"/>
      <c r="Y469" s="156">
        <f t="shared" si="382"/>
        <v>0</v>
      </c>
      <c r="Z469" s="156"/>
      <c r="AA469" s="156">
        <f t="shared" si="383"/>
        <v>0</v>
      </c>
      <c r="AB469" s="156"/>
      <c r="AC469" s="156">
        <f t="shared" si="383"/>
        <v>0</v>
      </c>
      <c r="AD469" s="156"/>
      <c r="AE469" s="156">
        <f t="shared" si="384"/>
        <v>0</v>
      </c>
      <c r="AF469" s="156"/>
      <c r="AG469" s="156">
        <f t="shared" si="384"/>
        <v>0</v>
      </c>
      <c r="AI469" s="157"/>
      <c r="AK469" s="466"/>
    </row>
    <row r="470" spans="1:37">
      <c r="C470" s="159">
        <v>929</v>
      </c>
      <c r="E470" s="859" t="s">
        <v>790</v>
      </c>
      <c r="F470" s="260"/>
      <c r="G470" s="392">
        <v>12</v>
      </c>
      <c r="H470" s="222"/>
      <c r="I470" s="262">
        <f>+Linkin!I115</f>
        <v>0</v>
      </c>
      <c r="K470" s="156">
        <f t="shared" si="377"/>
        <v>0</v>
      </c>
      <c r="M470" s="156">
        <f t="shared" si="378"/>
        <v>0</v>
      </c>
      <c r="N470" s="156"/>
      <c r="O470" s="156">
        <f t="shared" si="379"/>
        <v>0</v>
      </c>
      <c r="P470" s="156"/>
      <c r="Q470" s="156">
        <f t="shared" si="379"/>
        <v>0</v>
      </c>
      <c r="R470" s="156"/>
      <c r="S470" s="156">
        <f t="shared" si="380"/>
        <v>0</v>
      </c>
      <c r="T470" s="156"/>
      <c r="U470" s="156">
        <f t="shared" si="380"/>
        <v>0</v>
      </c>
      <c r="V470" s="156"/>
      <c r="W470" s="156">
        <f t="shared" si="381"/>
        <v>0</v>
      </c>
      <c r="X470" s="156"/>
      <c r="Y470" s="156">
        <f t="shared" si="382"/>
        <v>0</v>
      </c>
      <c r="Z470" s="156"/>
      <c r="AA470" s="156">
        <f t="shared" si="383"/>
        <v>0</v>
      </c>
      <c r="AB470" s="156"/>
      <c r="AC470" s="156">
        <f t="shared" si="383"/>
        <v>0</v>
      </c>
      <c r="AD470" s="156"/>
      <c r="AE470" s="156">
        <f t="shared" si="384"/>
        <v>0</v>
      </c>
      <c r="AF470" s="156"/>
      <c r="AG470" s="156">
        <f t="shared" si="384"/>
        <v>0</v>
      </c>
      <c r="AI470" s="157">
        <f t="shared" si="354"/>
        <v>0</v>
      </c>
      <c r="AK470" s="466"/>
    </row>
    <row r="471" spans="1:37">
      <c r="C471" s="159">
        <v>930</v>
      </c>
      <c r="E471" s="859" t="s">
        <v>101</v>
      </c>
      <c r="F471" s="260"/>
      <c r="G471" s="392">
        <v>12</v>
      </c>
      <c r="H471" s="222"/>
      <c r="I471" s="262">
        <f>+Linkin!I116</f>
        <v>0</v>
      </c>
      <c r="K471" s="156">
        <f t="shared" si="377"/>
        <v>0</v>
      </c>
      <c r="M471" s="156">
        <f t="shared" si="378"/>
        <v>0</v>
      </c>
      <c r="N471" s="156"/>
      <c r="O471" s="156">
        <f t="shared" si="379"/>
        <v>0</v>
      </c>
      <c r="P471" s="156"/>
      <c r="Q471" s="156">
        <f t="shared" si="379"/>
        <v>0</v>
      </c>
      <c r="R471" s="156"/>
      <c r="S471" s="156">
        <f t="shared" si="380"/>
        <v>0</v>
      </c>
      <c r="T471" s="156"/>
      <c r="U471" s="156">
        <f t="shared" si="380"/>
        <v>0</v>
      </c>
      <c r="V471" s="156"/>
      <c r="W471" s="156">
        <f t="shared" si="381"/>
        <v>0</v>
      </c>
      <c r="X471" s="156"/>
      <c r="Y471" s="156">
        <f t="shared" si="382"/>
        <v>0</v>
      </c>
      <c r="Z471" s="156"/>
      <c r="AA471" s="156">
        <f t="shared" si="383"/>
        <v>0</v>
      </c>
      <c r="AB471" s="156"/>
      <c r="AC471" s="156">
        <f t="shared" si="383"/>
        <v>0</v>
      </c>
      <c r="AD471" s="156"/>
      <c r="AE471" s="156">
        <f t="shared" si="384"/>
        <v>0</v>
      </c>
      <c r="AF471" s="156"/>
      <c r="AG471" s="156">
        <f t="shared" si="384"/>
        <v>0</v>
      </c>
      <c r="AI471" s="157"/>
      <c r="AK471" s="466"/>
    </row>
    <row r="472" spans="1:37">
      <c r="C472" s="159">
        <v>930</v>
      </c>
      <c r="E472" s="859" t="s">
        <v>102</v>
      </c>
      <c r="F472" s="260"/>
      <c r="G472" s="392">
        <v>12</v>
      </c>
      <c r="H472" s="222"/>
      <c r="I472" s="262">
        <f>+Linkin!I117</f>
        <v>1813882</v>
      </c>
      <c r="K472" s="156">
        <f t="shared" si="377"/>
        <v>535639</v>
      </c>
      <c r="M472" s="156">
        <f t="shared" si="378"/>
        <v>179212</v>
      </c>
      <c r="N472" s="156"/>
      <c r="O472" s="156">
        <f t="shared" si="379"/>
        <v>41901</v>
      </c>
      <c r="P472" s="156"/>
      <c r="Q472" s="156">
        <f t="shared" si="379"/>
        <v>41538</v>
      </c>
      <c r="R472" s="156"/>
      <c r="S472" s="156">
        <f t="shared" si="380"/>
        <v>71648</v>
      </c>
      <c r="T472" s="156"/>
      <c r="U472" s="156">
        <f t="shared" si="380"/>
        <v>25394</v>
      </c>
      <c r="V472" s="156"/>
      <c r="W472" s="156">
        <f t="shared" si="381"/>
        <v>731357</v>
      </c>
      <c r="X472" s="156"/>
      <c r="Y472" s="156">
        <f t="shared" si="382"/>
        <v>138943</v>
      </c>
      <c r="Z472" s="156"/>
      <c r="AA472" s="156">
        <f t="shared" si="383"/>
        <v>22129</v>
      </c>
      <c r="AB472" s="156"/>
      <c r="AC472" s="156">
        <f t="shared" si="383"/>
        <v>14874</v>
      </c>
      <c r="AD472" s="156"/>
      <c r="AE472" s="156">
        <f t="shared" si="384"/>
        <v>3084</v>
      </c>
      <c r="AF472" s="156"/>
      <c r="AG472" s="156">
        <f t="shared" si="384"/>
        <v>8162</v>
      </c>
      <c r="AI472" s="157"/>
      <c r="AK472" s="466"/>
    </row>
    <row r="473" spans="1:37">
      <c r="C473" s="159">
        <v>932</v>
      </c>
      <c r="E473" s="222" t="s">
        <v>129</v>
      </c>
      <c r="F473" s="222"/>
      <c r="G473" s="261">
        <f>+G146</f>
        <v>12</v>
      </c>
      <c r="H473" s="222"/>
      <c r="I473" s="485">
        <f>+Linkin!I122</f>
        <v>1085000</v>
      </c>
      <c r="K473" s="161">
        <f t="shared" si="377"/>
        <v>320401</v>
      </c>
      <c r="M473" s="161">
        <f t="shared" si="378"/>
        <v>107198</v>
      </c>
      <c r="N473" s="156"/>
      <c r="O473" s="161">
        <f t="shared" si="379"/>
        <v>25064</v>
      </c>
      <c r="P473" s="156"/>
      <c r="Q473" s="161">
        <f t="shared" si="379"/>
        <v>24847</v>
      </c>
      <c r="R473" s="156"/>
      <c r="S473" s="161">
        <f t="shared" si="380"/>
        <v>42858</v>
      </c>
      <c r="T473" s="162"/>
      <c r="U473" s="161">
        <f t="shared" si="380"/>
        <v>15190</v>
      </c>
      <c r="V473" s="156"/>
      <c r="W473" s="161">
        <f t="shared" si="381"/>
        <v>437472</v>
      </c>
      <c r="X473" s="156"/>
      <c r="Y473" s="161">
        <f t="shared" si="382"/>
        <v>83111</v>
      </c>
      <c r="Z473" s="156"/>
      <c r="AA473" s="161">
        <f t="shared" si="383"/>
        <v>13237</v>
      </c>
      <c r="AB473" s="156"/>
      <c r="AC473" s="161">
        <f t="shared" si="383"/>
        <v>8897</v>
      </c>
      <c r="AD473" s="156"/>
      <c r="AE473" s="161">
        <f t="shared" si="384"/>
        <v>1845</v>
      </c>
      <c r="AF473" s="162"/>
      <c r="AG473" s="161">
        <f t="shared" si="384"/>
        <v>4883</v>
      </c>
      <c r="AI473" s="157">
        <f t="shared" si="354"/>
        <v>3</v>
      </c>
      <c r="AK473" s="466"/>
    </row>
    <row r="474" spans="1:37">
      <c r="E474" s="222"/>
      <c r="F474" s="222"/>
      <c r="G474" s="261"/>
      <c r="H474" s="222"/>
      <c r="I474" s="246"/>
      <c r="K474" s="150"/>
      <c r="M474" s="150"/>
      <c r="O474" s="150"/>
      <c r="Q474" s="150"/>
      <c r="S474" s="150"/>
      <c r="T474" s="150"/>
      <c r="U474" s="150"/>
      <c r="W474" s="150"/>
      <c r="Y474" s="150"/>
      <c r="AA474" s="150"/>
      <c r="AC474" s="150"/>
      <c r="AE474" s="150"/>
      <c r="AF474" s="150"/>
      <c r="AG474" s="150"/>
      <c r="AI474" s="157">
        <f t="shared" si="354"/>
        <v>0</v>
      </c>
      <c r="AK474" s="466"/>
    </row>
    <row r="475" spans="1:37">
      <c r="E475" s="222" t="s">
        <v>277</v>
      </c>
      <c r="F475" s="222"/>
      <c r="G475" s="261"/>
      <c r="H475" s="222"/>
      <c r="I475" s="285">
        <f>SUM(I422:I473)</f>
        <v>77291348</v>
      </c>
      <c r="J475" s="285"/>
      <c r="K475" s="285">
        <f t="shared" ref="K475:AG475" si="385">SUM(K422:K473)</f>
        <v>15136178</v>
      </c>
      <c r="L475" s="285"/>
      <c r="M475" s="285">
        <f t="shared" si="385"/>
        <v>6837929</v>
      </c>
      <c r="N475" s="285"/>
      <c r="O475" s="285">
        <f t="shared" si="385"/>
        <v>1762416</v>
      </c>
      <c r="P475" s="285"/>
      <c r="Q475" s="285">
        <f t="shared" si="385"/>
        <v>1744401</v>
      </c>
      <c r="R475" s="285"/>
      <c r="S475" s="285">
        <f t="shared" si="385"/>
        <v>3321191</v>
      </c>
      <c r="T475" s="285"/>
      <c r="U475" s="285">
        <f t="shared" si="385"/>
        <v>1131662</v>
      </c>
      <c r="V475" s="285"/>
      <c r="W475" s="285">
        <f t="shared" si="385"/>
        <v>36624097</v>
      </c>
      <c r="X475" s="285"/>
      <c r="Y475" s="285">
        <f t="shared" si="385"/>
        <v>7939416</v>
      </c>
      <c r="Z475" s="285"/>
      <c r="AA475" s="285">
        <f t="shared" si="385"/>
        <v>1313972</v>
      </c>
      <c r="AB475" s="285"/>
      <c r="AC475" s="285">
        <f t="shared" si="385"/>
        <v>827920</v>
      </c>
      <c r="AD475" s="285"/>
      <c r="AE475" s="285">
        <f t="shared" si="385"/>
        <v>165602</v>
      </c>
      <c r="AF475" s="285"/>
      <c r="AG475" s="285">
        <f t="shared" si="385"/>
        <v>486563</v>
      </c>
      <c r="AI475" s="157">
        <f t="shared" si="354"/>
        <v>-1</v>
      </c>
      <c r="AK475" s="466"/>
    </row>
    <row r="476" spans="1:37">
      <c r="E476" s="222"/>
      <c r="F476" s="222"/>
      <c r="G476" s="261"/>
      <c r="H476" s="222"/>
      <c r="I476" s="222"/>
      <c r="AI476" s="157">
        <f t="shared" si="354"/>
        <v>0</v>
      </c>
      <c r="AK476" s="466"/>
    </row>
    <row r="477" spans="1:37" s="104" customFormat="1">
      <c r="A477" s="222"/>
      <c r="B477" s="222"/>
      <c r="C477" s="222"/>
      <c r="D477" s="222"/>
      <c r="E477" s="222"/>
      <c r="F477" s="222"/>
      <c r="G477" s="261"/>
      <c r="H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  <c r="AC477" s="222"/>
      <c r="AD477" s="222"/>
      <c r="AE477" s="222"/>
      <c r="AF477" s="222"/>
      <c r="AG477" s="222"/>
      <c r="AH477" s="222"/>
      <c r="AI477" s="157">
        <f t="shared" si="354"/>
        <v>0</v>
      </c>
      <c r="AJ477" s="222"/>
      <c r="AK477" s="469"/>
    </row>
    <row r="478" spans="1:37" s="104" customFormat="1">
      <c r="A478" s="222"/>
      <c r="B478" s="222"/>
      <c r="C478" s="222"/>
      <c r="D478" s="222"/>
      <c r="E478" s="222"/>
      <c r="F478" s="222"/>
      <c r="G478" s="261"/>
      <c r="H478" s="222"/>
      <c r="I478" s="285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  <c r="AI478" s="157">
        <f t="shared" si="354"/>
        <v>0</v>
      </c>
      <c r="AJ478" s="222"/>
      <c r="AK478" s="469"/>
    </row>
    <row r="479" spans="1:37">
      <c r="C479" s="261">
        <v>926</v>
      </c>
      <c r="D479" s="222"/>
      <c r="E479" s="101" t="s">
        <v>421</v>
      </c>
      <c r="F479" s="222"/>
      <c r="G479" s="261">
        <v>13</v>
      </c>
      <c r="H479" s="222"/>
      <c r="I479" s="285">
        <f>+Linkin!I112</f>
        <v>2923097</v>
      </c>
      <c r="K479" s="156">
        <f>ROUND(VLOOKUP($G479,factors,+K$376)*$I479,0)</f>
        <v>572342</v>
      </c>
      <c r="M479" s="156">
        <f>ROUND(VLOOKUP($G479,factors,+M$376)*$I479,0)</f>
        <v>258694</v>
      </c>
      <c r="N479" s="156"/>
      <c r="O479" s="156">
        <f>ROUND(VLOOKUP($G479,factors,+O$376)*$I479,0)</f>
        <v>66647</v>
      </c>
      <c r="P479" s="156"/>
      <c r="Q479" s="156">
        <f>ROUND(VLOOKUP($G479,factors,+Q$376)*$I479,0)</f>
        <v>66062</v>
      </c>
      <c r="R479" s="156"/>
      <c r="S479" s="156">
        <f>ROUND(VLOOKUP($G479,factors,+S$376)*$I479,0)</f>
        <v>125693</v>
      </c>
      <c r="T479" s="156"/>
      <c r="U479" s="156">
        <f>ROUND(VLOOKUP($G479,factors,+U$376)*$I479,0)</f>
        <v>42677</v>
      </c>
      <c r="V479" s="156"/>
      <c r="W479" s="156">
        <f>ROUND(VLOOKUP($G479,factors,+W$376)*$I479,0)</f>
        <v>1385256</v>
      </c>
      <c r="X479" s="156"/>
      <c r="Y479" s="156">
        <f>ROUND(VLOOKUP($G479,factors,+Y$376)*$I479,0)</f>
        <v>300202</v>
      </c>
      <c r="Z479" s="156"/>
      <c r="AA479" s="156">
        <f>ROUND(VLOOKUP($G479,factors,+AA$376)*$I479,0)</f>
        <v>49693</v>
      </c>
      <c r="AB479" s="156"/>
      <c r="AC479" s="156">
        <f>ROUND(VLOOKUP($G479,factors,+AC$376)*$I479,0)</f>
        <v>31277</v>
      </c>
      <c r="AD479" s="156"/>
      <c r="AE479" s="156">
        <f>ROUND(VLOOKUP($G479,factors,+AE$376)*$I479,0)</f>
        <v>6139</v>
      </c>
      <c r="AF479" s="156"/>
      <c r="AG479" s="156">
        <f>ROUND(VLOOKUP($G479,factors,+AG$376)*$I479,0)</f>
        <v>18416</v>
      </c>
      <c r="AI479" s="157">
        <f t="shared" si="354"/>
        <v>1</v>
      </c>
      <c r="AK479" s="466"/>
    </row>
    <row r="480" spans="1:37" s="104" customFormat="1">
      <c r="A480" s="222"/>
      <c r="B480" s="222"/>
      <c r="C480" s="261"/>
      <c r="D480" s="222"/>
      <c r="E480" s="222"/>
      <c r="F480" s="222"/>
      <c r="G480" s="261"/>
      <c r="H480" s="222"/>
      <c r="I480" s="285">
        <f>+I479+I475</f>
        <v>80214445</v>
      </c>
      <c r="J480" s="222"/>
      <c r="K480" s="263"/>
      <c r="L480" s="222"/>
      <c r="M480" s="263"/>
      <c r="N480" s="263"/>
      <c r="O480" s="263"/>
      <c r="P480" s="263"/>
      <c r="Q480" s="263"/>
      <c r="R480" s="263"/>
      <c r="S480" s="263"/>
      <c r="T480" s="263"/>
      <c r="U480" s="263"/>
      <c r="V480" s="263"/>
      <c r="W480" s="263"/>
      <c r="X480" s="263"/>
      <c r="Y480" s="263"/>
      <c r="Z480" s="263"/>
      <c r="AA480" s="263"/>
      <c r="AB480" s="263"/>
      <c r="AC480" s="263"/>
      <c r="AD480" s="263"/>
      <c r="AE480" s="263"/>
      <c r="AF480" s="263"/>
      <c r="AG480" s="263"/>
      <c r="AH480" s="263"/>
      <c r="AI480" s="286"/>
      <c r="AJ480" s="286"/>
      <c r="AK480" s="469"/>
    </row>
    <row r="481" spans="5:37">
      <c r="E481" s="222"/>
      <c r="F481" s="222"/>
      <c r="G481" s="261"/>
      <c r="H481" s="222"/>
      <c r="I481" s="285"/>
      <c r="AK481" s="466"/>
    </row>
    <row r="482" spans="5:37">
      <c r="F482" s="222"/>
      <c r="G482" s="261"/>
      <c r="H482" s="222"/>
      <c r="I482" s="285"/>
      <c r="AK482" s="466"/>
    </row>
    <row r="483" spans="5:37">
      <c r="E483" s="222"/>
      <c r="F483" s="222"/>
      <c r="G483" s="261"/>
      <c r="H483" s="222"/>
      <c r="I483" s="285"/>
      <c r="AK483" s="466"/>
    </row>
    <row r="484" spans="5:37">
      <c r="G484" s="261"/>
      <c r="I484" s="155"/>
      <c r="AK484" s="466"/>
    </row>
    <row r="485" spans="5:37">
      <c r="G485" s="261"/>
      <c r="I485" s="155"/>
      <c r="AK485" s="466"/>
    </row>
    <row r="486" spans="5:37">
      <c r="G486" s="261"/>
      <c r="I486" s="155"/>
      <c r="AK486" s="466"/>
    </row>
    <row r="487" spans="5:37">
      <c r="G487" s="261"/>
      <c r="I487" s="155"/>
      <c r="AK487" s="466"/>
    </row>
    <row r="488" spans="5:37">
      <c r="G488" s="261"/>
      <c r="I488" s="155"/>
      <c r="AK488" s="466"/>
    </row>
    <row r="489" spans="5:37">
      <c r="G489" s="261"/>
      <c r="I489" s="155"/>
      <c r="AK489" s="466"/>
    </row>
    <row r="490" spans="5:37">
      <c r="G490" s="261"/>
      <c r="I490" s="155"/>
      <c r="AK490" s="466"/>
    </row>
    <row r="491" spans="5:37">
      <c r="G491" s="261"/>
      <c r="I491" s="155"/>
      <c r="AK491" s="466"/>
    </row>
    <row r="492" spans="5:37">
      <c r="G492" s="261"/>
      <c r="I492" s="155"/>
      <c r="AK492" s="466"/>
    </row>
    <row r="493" spans="5:37">
      <c r="G493" s="261"/>
      <c r="I493" s="155"/>
      <c r="P493" s="150"/>
      <c r="Q493" s="150"/>
      <c r="AK493" s="466"/>
    </row>
    <row r="494" spans="5:37">
      <c r="G494" s="261"/>
      <c r="I494" s="155"/>
      <c r="O494" s="150"/>
      <c r="P494" s="150"/>
      <c r="Q494" s="150"/>
      <c r="R494" s="150"/>
      <c r="AK494" s="466"/>
    </row>
    <row r="495" spans="5:37">
      <c r="G495" s="261"/>
      <c r="I495" s="155"/>
      <c r="O495" s="150"/>
      <c r="P495" s="150"/>
      <c r="Q495" s="164"/>
      <c r="R495" s="150"/>
      <c r="AK495" s="466"/>
    </row>
    <row r="496" spans="5:37">
      <c r="G496" s="261"/>
      <c r="I496" s="155"/>
      <c r="O496" s="150"/>
      <c r="P496" s="150"/>
      <c r="Q496" s="250"/>
      <c r="R496" s="150"/>
      <c r="AK496" s="466"/>
    </row>
    <row r="497" spans="7:37">
      <c r="G497" s="261"/>
      <c r="I497" s="155"/>
      <c r="O497" s="150"/>
      <c r="P497" s="150"/>
      <c r="Q497" s="150"/>
      <c r="R497" s="150"/>
      <c r="AK497" s="466"/>
    </row>
    <row r="498" spans="7:37">
      <c r="G498" s="261"/>
      <c r="I498" s="155"/>
      <c r="O498" s="150"/>
      <c r="P498" s="150"/>
      <c r="Q498" s="150"/>
      <c r="R498" s="150"/>
      <c r="AK498" s="466"/>
    </row>
    <row r="499" spans="7:37">
      <c r="G499" s="261"/>
      <c r="I499" s="155"/>
      <c r="O499" s="150"/>
      <c r="P499" s="150"/>
      <c r="Q499" s="251"/>
      <c r="R499" s="150"/>
      <c r="AK499" s="466"/>
    </row>
    <row r="500" spans="7:37">
      <c r="G500" s="261"/>
      <c r="I500" s="155"/>
      <c r="O500" s="150"/>
      <c r="P500" s="150"/>
      <c r="Q500" s="150"/>
      <c r="R500" s="150"/>
      <c r="AK500" s="466"/>
    </row>
    <row r="501" spans="7:37">
      <c r="G501" s="261"/>
      <c r="O501" s="150"/>
      <c r="P501" s="150"/>
      <c r="Q501" s="162"/>
      <c r="R501" s="150"/>
      <c r="AE501" s="155"/>
      <c r="AF501" s="155"/>
      <c r="AG501" s="155"/>
      <c r="AK501" s="466"/>
    </row>
    <row r="502" spans="7:37">
      <c r="G502" s="261"/>
      <c r="O502" s="150"/>
      <c r="P502" s="150"/>
      <c r="Q502" s="150"/>
      <c r="R502" s="150"/>
      <c r="AK502" s="466"/>
    </row>
    <row r="503" spans="7:37">
      <c r="G503" s="261"/>
      <c r="O503" s="150"/>
      <c r="P503" s="150"/>
      <c r="Q503" s="162"/>
      <c r="R503" s="150"/>
      <c r="AK503" s="466"/>
    </row>
    <row r="504" spans="7:37">
      <c r="G504" s="261"/>
      <c r="O504" s="150"/>
      <c r="P504" s="150"/>
      <c r="Q504" s="162"/>
      <c r="R504" s="150"/>
      <c r="AK504" s="466"/>
    </row>
    <row r="505" spans="7:37">
      <c r="G505" s="261"/>
      <c r="O505" s="150"/>
      <c r="P505" s="150"/>
      <c r="Q505" s="162"/>
      <c r="R505" s="150"/>
      <c r="AK505" s="466"/>
    </row>
    <row r="506" spans="7:37">
      <c r="G506" s="261"/>
      <c r="O506" s="150"/>
      <c r="P506" s="150"/>
      <c r="Q506" s="150"/>
      <c r="R506" s="150"/>
      <c r="AK506" s="466"/>
    </row>
    <row r="507" spans="7:37">
      <c r="G507" s="261"/>
      <c r="O507" s="150"/>
      <c r="P507" s="150"/>
      <c r="Q507" s="251"/>
      <c r="R507" s="150"/>
      <c r="AK507" s="466"/>
    </row>
    <row r="508" spans="7:37">
      <c r="G508" s="261"/>
      <c r="P508" s="150"/>
      <c r="Q508" s="150"/>
      <c r="AK508" s="466"/>
    </row>
    <row r="509" spans="7:37">
      <c r="G509" s="261"/>
      <c r="Q509" s="165"/>
      <c r="AK509" s="466"/>
    </row>
    <row r="510" spans="7:37">
      <c r="G510" s="261"/>
      <c r="J510" s="150"/>
      <c r="AK510" s="466"/>
    </row>
    <row r="511" spans="7:37">
      <c r="G511" s="261"/>
      <c r="AK511" s="466"/>
    </row>
    <row r="512" spans="7:37">
      <c r="G512" s="261"/>
      <c r="AK512" s="466"/>
    </row>
    <row r="513" spans="7:37">
      <c r="G513" s="261"/>
      <c r="AK513" s="466"/>
    </row>
    <row r="514" spans="7:37">
      <c r="G514" s="261"/>
      <c r="AK514" s="466"/>
    </row>
    <row r="515" spans="7:37">
      <c r="G515" s="261"/>
      <c r="AK515" s="466"/>
    </row>
    <row r="516" spans="7:37">
      <c r="G516" s="261"/>
      <c r="AK516" s="466"/>
    </row>
    <row r="517" spans="7:37">
      <c r="G517" s="261"/>
      <c r="AK517" s="466"/>
    </row>
    <row r="518" spans="7:37">
      <c r="G518" s="261"/>
      <c r="AK518" s="466"/>
    </row>
    <row r="519" spans="7:37">
      <c r="G519" s="261"/>
      <c r="AK519" s="466"/>
    </row>
    <row r="520" spans="7:37">
      <c r="G520" s="261"/>
      <c r="AK520" s="466"/>
    </row>
    <row r="521" spans="7:37">
      <c r="G521" s="261"/>
      <c r="AK521" s="466"/>
    </row>
    <row r="522" spans="7:37" ht="21.75" customHeight="1">
      <c r="G522" s="261"/>
      <c r="AK522" s="466"/>
    </row>
    <row r="523" spans="7:37">
      <c r="G523" s="261"/>
      <c r="AK523" s="466"/>
    </row>
    <row r="524" spans="7:37">
      <c r="G524" s="261"/>
      <c r="AK524" s="466"/>
    </row>
    <row r="525" spans="7:37">
      <c r="G525" s="261"/>
      <c r="AK525" s="466"/>
    </row>
    <row r="526" spans="7:37">
      <c r="G526" s="261"/>
      <c r="AK526" s="466"/>
    </row>
    <row r="527" spans="7:37">
      <c r="G527" s="261"/>
      <c r="AK527" s="466"/>
    </row>
    <row r="528" spans="7:37">
      <c r="G528" s="261"/>
      <c r="AK528" s="466"/>
    </row>
    <row r="529" spans="7:37">
      <c r="G529" s="261"/>
      <c r="AK529" s="466"/>
    </row>
    <row r="530" spans="7:37">
      <c r="G530" s="261"/>
      <c r="I530" s="155"/>
      <c r="AK530" s="466"/>
    </row>
    <row r="531" spans="7:37">
      <c r="G531" s="261"/>
      <c r="I531" s="155"/>
      <c r="AK531" s="466"/>
    </row>
    <row r="532" spans="7:37">
      <c r="G532" s="261"/>
      <c r="I532" s="169"/>
      <c r="AK532" s="466"/>
    </row>
    <row r="533" spans="7:37">
      <c r="G533" s="261"/>
      <c r="I533" s="155"/>
      <c r="AK533" s="466"/>
    </row>
    <row r="534" spans="7:37">
      <c r="G534" s="261"/>
      <c r="I534" s="155"/>
      <c r="AK534" s="466"/>
    </row>
    <row r="535" spans="7:37">
      <c r="G535" s="261"/>
      <c r="I535" s="155"/>
      <c r="AK535" s="466"/>
    </row>
    <row r="536" spans="7:37">
      <c r="G536" s="261"/>
      <c r="I536" s="155"/>
      <c r="AK536" s="466"/>
    </row>
    <row r="537" spans="7:37">
      <c r="G537" s="261"/>
      <c r="I537" s="155"/>
      <c r="AK537" s="466"/>
    </row>
    <row r="538" spans="7:37">
      <c r="G538" s="261"/>
      <c r="I538" s="155"/>
      <c r="AK538" s="466"/>
    </row>
    <row r="539" spans="7:37">
      <c r="G539" s="261"/>
      <c r="I539" s="155"/>
      <c r="AK539" s="466"/>
    </row>
    <row r="540" spans="7:37">
      <c r="G540" s="261"/>
      <c r="I540" s="155"/>
      <c r="AK540" s="466"/>
    </row>
    <row r="541" spans="7:37">
      <c r="G541" s="261"/>
      <c r="I541" s="155"/>
      <c r="AK541" s="466"/>
    </row>
    <row r="542" spans="7:37">
      <c r="G542" s="261"/>
      <c r="I542" s="155"/>
      <c r="AK542" s="466"/>
    </row>
    <row r="543" spans="7:37">
      <c r="G543" s="261"/>
      <c r="I543" s="155"/>
    </row>
    <row r="544" spans="7:37">
      <c r="G544" s="261"/>
      <c r="I544" s="155"/>
    </row>
    <row r="545" spans="7:9">
      <c r="G545" s="261"/>
      <c r="I545" s="155"/>
    </row>
    <row r="546" spans="7:9">
      <c r="G546" s="261"/>
      <c r="I546" s="155"/>
    </row>
    <row r="547" spans="7:9">
      <c r="G547" s="261"/>
      <c r="I547" s="155"/>
    </row>
    <row r="548" spans="7:9">
      <c r="G548" s="261"/>
      <c r="I548" s="155"/>
    </row>
    <row r="549" spans="7:9">
      <c r="G549" s="261"/>
      <c r="I549" s="155"/>
    </row>
    <row r="550" spans="7:9">
      <c r="G550" s="261"/>
      <c r="I550" s="155"/>
    </row>
    <row r="551" spans="7:9">
      <c r="G551" s="261"/>
      <c r="I551" s="155"/>
    </row>
    <row r="552" spans="7:9">
      <c r="G552" s="261"/>
      <c r="I552" s="155"/>
    </row>
    <row r="553" spans="7:9">
      <c r="G553" s="261"/>
      <c r="I553" s="155"/>
    </row>
    <row r="554" spans="7:9">
      <c r="G554" s="261"/>
      <c r="I554" s="155"/>
    </row>
    <row r="555" spans="7:9">
      <c r="G555" s="261"/>
      <c r="I555" s="155"/>
    </row>
    <row r="556" spans="7:9">
      <c r="G556" s="261"/>
      <c r="I556" s="155"/>
    </row>
    <row r="557" spans="7:9">
      <c r="G557" s="261"/>
      <c r="I557" s="155"/>
    </row>
    <row r="558" spans="7:9">
      <c r="G558" s="261"/>
      <c r="I558" s="155"/>
    </row>
    <row r="559" spans="7:9">
      <c r="G559" s="261"/>
      <c r="I559" s="155"/>
    </row>
    <row r="560" spans="7:9">
      <c r="G560" s="261"/>
      <c r="I560" s="155"/>
    </row>
    <row r="561" spans="7:9">
      <c r="G561" s="261"/>
      <c r="I561" s="155"/>
    </row>
    <row r="562" spans="7:9">
      <c r="G562" s="261"/>
      <c r="I562" s="155"/>
    </row>
    <row r="563" spans="7:9">
      <c r="G563" s="261"/>
      <c r="I563" s="155"/>
    </row>
    <row r="564" spans="7:9">
      <c r="G564" s="261"/>
      <c r="I564" s="155"/>
    </row>
    <row r="565" spans="7:9">
      <c r="G565" s="261"/>
      <c r="I565" s="155"/>
    </row>
    <row r="566" spans="7:9">
      <c r="G566" s="261"/>
      <c r="I566" s="155"/>
    </row>
    <row r="567" spans="7:9">
      <c r="G567" s="261"/>
      <c r="I567" s="155"/>
    </row>
    <row r="568" spans="7:9">
      <c r="I568" s="155"/>
    </row>
    <row r="569" spans="7:9">
      <c r="I569" s="155"/>
    </row>
    <row r="570" spans="7:9">
      <c r="I570" s="155"/>
    </row>
    <row r="571" spans="7:9">
      <c r="I571" s="155"/>
    </row>
    <row r="572" spans="7:9">
      <c r="I572" s="155"/>
    </row>
    <row r="573" spans="7:9">
      <c r="I573" s="155"/>
    </row>
    <row r="574" spans="7:9">
      <c r="I574" s="155"/>
    </row>
    <row r="575" spans="7:9">
      <c r="I575" s="155"/>
    </row>
    <row r="576" spans="7:9">
      <c r="I576" s="155"/>
    </row>
    <row r="577" spans="9:9">
      <c r="I577" s="155"/>
    </row>
    <row r="578" spans="9:9">
      <c r="I578" s="155"/>
    </row>
    <row r="579" spans="9:9">
      <c r="I579" s="155"/>
    </row>
    <row r="580" spans="9:9">
      <c r="I580" s="155"/>
    </row>
    <row r="581" spans="9:9">
      <c r="I581" s="155"/>
    </row>
    <row r="582" spans="9:9">
      <c r="I582" s="155"/>
    </row>
    <row r="583" spans="9:9">
      <c r="I583" s="155"/>
    </row>
    <row r="584" spans="9:9">
      <c r="I584" s="155"/>
    </row>
    <row r="585" spans="9:9">
      <c r="I585" s="155"/>
    </row>
    <row r="586" spans="9:9">
      <c r="I586" s="155"/>
    </row>
    <row r="587" spans="9:9">
      <c r="I587" s="155"/>
    </row>
    <row r="588" spans="9:9">
      <c r="I588" s="155"/>
    </row>
    <row r="589" spans="9:9">
      <c r="I589" s="155"/>
    </row>
    <row r="590" spans="9:9">
      <c r="I590" s="155"/>
    </row>
    <row r="591" spans="9:9">
      <c r="I591" s="155"/>
    </row>
    <row r="592" spans="9:9">
      <c r="I592" s="155"/>
    </row>
    <row r="593" spans="9:9">
      <c r="I593" s="155"/>
    </row>
    <row r="594" spans="9:9">
      <c r="I594" s="155"/>
    </row>
    <row r="595" spans="9:9">
      <c r="I595" s="155"/>
    </row>
    <row r="596" spans="9:9">
      <c r="I596" s="155"/>
    </row>
    <row r="597" spans="9:9">
      <c r="I597" s="155"/>
    </row>
    <row r="598" spans="9:9">
      <c r="I598" s="155"/>
    </row>
    <row r="599" spans="9:9">
      <c r="I599" s="155"/>
    </row>
    <row r="600" spans="9:9">
      <c r="I600" s="155"/>
    </row>
    <row r="601" spans="9:9">
      <c r="I601" s="155"/>
    </row>
    <row r="602" spans="9:9">
      <c r="I602" s="155"/>
    </row>
    <row r="603" spans="9:9">
      <c r="I603" s="155"/>
    </row>
    <row r="604" spans="9:9">
      <c r="I604" s="155"/>
    </row>
    <row r="605" spans="9:9">
      <c r="I605" s="155"/>
    </row>
    <row r="606" spans="9:9">
      <c r="I606" s="155"/>
    </row>
    <row r="607" spans="9:9">
      <c r="I607" s="155"/>
    </row>
    <row r="608" spans="9:9">
      <c r="I608" s="155"/>
    </row>
    <row r="609" spans="9:9">
      <c r="I609" s="155"/>
    </row>
    <row r="610" spans="9:9">
      <c r="I610" s="155"/>
    </row>
    <row r="611" spans="9:9">
      <c r="I611" s="155"/>
    </row>
    <row r="612" spans="9:9">
      <c r="I612" s="155"/>
    </row>
    <row r="613" spans="9:9">
      <c r="I613" s="155"/>
    </row>
    <row r="614" spans="9:9">
      <c r="I614" s="155"/>
    </row>
    <row r="615" spans="9:9">
      <c r="I615" s="155"/>
    </row>
    <row r="616" spans="9:9">
      <c r="I616" s="155"/>
    </row>
    <row r="617" spans="9:9">
      <c r="I617" s="155"/>
    </row>
    <row r="618" spans="9:9">
      <c r="I618" s="155"/>
    </row>
    <row r="619" spans="9:9">
      <c r="I619" s="155"/>
    </row>
    <row r="620" spans="9:9">
      <c r="I620" s="155"/>
    </row>
    <row r="621" spans="9:9">
      <c r="I621" s="155"/>
    </row>
    <row r="622" spans="9:9">
      <c r="I622" s="155"/>
    </row>
    <row r="623" spans="9:9">
      <c r="I623" s="155"/>
    </row>
    <row r="624" spans="9:9">
      <c r="I624" s="155"/>
    </row>
    <row r="625" spans="9:9">
      <c r="I625" s="155"/>
    </row>
    <row r="626" spans="9:9">
      <c r="I626" s="155"/>
    </row>
    <row r="627" spans="9:9">
      <c r="I627" s="155"/>
    </row>
    <row r="628" spans="9:9">
      <c r="I628" s="155"/>
    </row>
    <row r="629" spans="9:9">
      <c r="I629" s="155"/>
    </row>
    <row r="630" spans="9:9">
      <c r="I630" s="155"/>
    </row>
    <row r="631" spans="9:9">
      <c r="I631" s="155"/>
    </row>
    <row r="632" spans="9:9">
      <c r="I632" s="155"/>
    </row>
    <row r="633" spans="9:9">
      <c r="I633" s="155"/>
    </row>
    <row r="634" spans="9:9">
      <c r="I634" s="155"/>
    </row>
    <row r="635" spans="9:9">
      <c r="I635" s="155"/>
    </row>
    <row r="636" spans="9:9">
      <c r="I636" s="155"/>
    </row>
    <row r="637" spans="9:9">
      <c r="I637" s="155"/>
    </row>
    <row r="638" spans="9:9">
      <c r="I638" s="155"/>
    </row>
    <row r="639" spans="9:9">
      <c r="I639" s="155"/>
    </row>
    <row r="640" spans="9:9">
      <c r="I640" s="155"/>
    </row>
    <row r="641" spans="9:9">
      <c r="I641" s="155"/>
    </row>
    <row r="642" spans="9:9">
      <c r="I642" s="155"/>
    </row>
    <row r="643" spans="9:9">
      <c r="I643" s="155"/>
    </row>
    <row r="644" spans="9:9">
      <c r="I644" s="155"/>
    </row>
    <row r="645" spans="9:9">
      <c r="I645" s="155"/>
    </row>
    <row r="646" spans="9:9">
      <c r="I646" s="155"/>
    </row>
    <row r="647" spans="9:9">
      <c r="I647" s="155"/>
    </row>
    <row r="648" spans="9:9">
      <c r="I648" s="155"/>
    </row>
    <row r="649" spans="9:9">
      <c r="I649" s="155"/>
    </row>
    <row r="650" spans="9:9">
      <c r="I650" s="155"/>
    </row>
    <row r="651" spans="9:9">
      <c r="I651" s="155"/>
    </row>
    <row r="652" spans="9:9">
      <c r="I652" s="155"/>
    </row>
    <row r="653" spans="9:9">
      <c r="I653" s="155"/>
    </row>
    <row r="654" spans="9:9">
      <c r="I654" s="155"/>
    </row>
    <row r="655" spans="9:9">
      <c r="I655" s="155"/>
    </row>
    <row r="656" spans="9:9">
      <c r="I656" s="155"/>
    </row>
    <row r="657" spans="9:9">
      <c r="I657" s="155"/>
    </row>
    <row r="658" spans="9:9">
      <c r="I658" s="155"/>
    </row>
    <row r="659" spans="9:9">
      <c r="I659" s="155"/>
    </row>
    <row r="660" spans="9:9">
      <c r="I660" s="155"/>
    </row>
    <row r="661" spans="9:9">
      <c r="I661" s="155"/>
    </row>
    <row r="662" spans="9:9">
      <c r="I662" s="155"/>
    </row>
    <row r="663" spans="9:9">
      <c r="I663" s="155"/>
    </row>
    <row r="664" spans="9:9">
      <c r="I664" s="155"/>
    </row>
    <row r="665" spans="9:9">
      <c r="I665" s="155"/>
    </row>
    <row r="666" spans="9:9">
      <c r="I666" s="155"/>
    </row>
    <row r="667" spans="9:9">
      <c r="I667" s="155"/>
    </row>
    <row r="668" spans="9:9">
      <c r="I668" s="155"/>
    </row>
    <row r="669" spans="9:9">
      <c r="I669" s="155"/>
    </row>
    <row r="670" spans="9:9">
      <c r="I670" s="155"/>
    </row>
    <row r="671" spans="9:9">
      <c r="I671" s="155"/>
    </row>
    <row r="672" spans="9:9">
      <c r="I672" s="155"/>
    </row>
    <row r="673" spans="9:9">
      <c r="I673" s="155"/>
    </row>
    <row r="674" spans="9:9">
      <c r="I674" s="155"/>
    </row>
    <row r="675" spans="9:9">
      <c r="I675" s="155"/>
    </row>
    <row r="676" spans="9:9">
      <c r="I676" s="155"/>
    </row>
    <row r="677" spans="9:9">
      <c r="I677" s="155"/>
    </row>
    <row r="678" spans="9:9">
      <c r="I678" s="155"/>
    </row>
    <row r="679" spans="9:9">
      <c r="I679" s="155"/>
    </row>
    <row r="680" spans="9:9">
      <c r="I680" s="155"/>
    </row>
    <row r="681" spans="9:9">
      <c r="I681" s="155"/>
    </row>
    <row r="682" spans="9:9">
      <c r="I682" s="155"/>
    </row>
    <row r="683" spans="9:9">
      <c r="I683" s="155"/>
    </row>
    <row r="684" spans="9:9">
      <c r="I684" s="155"/>
    </row>
    <row r="685" spans="9:9">
      <c r="I685" s="155"/>
    </row>
    <row r="686" spans="9:9">
      <c r="I686" s="155"/>
    </row>
    <row r="687" spans="9:9">
      <c r="I687" s="155"/>
    </row>
    <row r="688" spans="9:9">
      <c r="I688" s="155"/>
    </row>
    <row r="689" spans="9:9">
      <c r="I689" s="155"/>
    </row>
    <row r="690" spans="9:9">
      <c r="I690" s="155"/>
    </row>
    <row r="691" spans="9:9">
      <c r="I691" s="155"/>
    </row>
    <row r="692" spans="9:9">
      <c r="I692" s="155"/>
    </row>
    <row r="693" spans="9:9">
      <c r="I693" s="155"/>
    </row>
    <row r="694" spans="9:9">
      <c r="I694" s="155"/>
    </row>
    <row r="695" spans="9:9">
      <c r="I695" s="155"/>
    </row>
    <row r="696" spans="9:9">
      <c r="I696" s="155"/>
    </row>
    <row r="697" spans="9:9">
      <c r="I697" s="155"/>
    </row>
    <row r="698" spans="9:9">
      <c r="I698" s="155"/>
    </row>
    <row r="699" spans="9:9">
      <c r="I699" s="155"/>
    </row>
    <row r="700" spans="9:9">
      <c r="I700" s="155"/>
    </row>
    <row r="701" spans="9:9">
      <c r="I701" s="155"/>
    </row>
    <row r="702" spans="9:9">
      <c r="I702" s="155"/>
    </row>
    <row r="703" spans="9:9">
      <c r="I703" s="155"/>
    </row>
    <row r="704" spans="9:9">
      <c r="I704" s="155"/>
    </row>
    <row r="705" spans="9:9">
      <c r="I705" s="155"/>
    </row>
    <row r="706" spans="9:9">
      <c r="I706" s="155"/>
    </row>
    <row r="707" spans="9:9">
      <c r="I707" s="155"/>
    </row>
    <row r="708" spans="9:9">
      <c r="I708" s="155"/>
    </row>
    <row r="709" spans="9:9">
      <c r="I709" s="155"/>
    </row>
    <row r="710" spans="9:9">
      <c r="I710" s="155"/>
    </row>
    <row r="711" spans="9:9">
      <c r="I711" s="155"/>
    </row>
    <row r="712" spans="9:9">
      <c r="I712" s="155"/>
    </row>
    <row r="713" spans="9:9">
      <c r="I713" s="155"/>
    </row>
    <row r="714" spans="9:9">
      <c r="I714" s="155"/>
    </row>
    <row r="715" spans="9:9">
      <c r="I715" s="155"/>
    </row>
    <row r="716" spans="9:9">
      <c r="I716" s="155"/>
    </row>
    <row r="717" spans="9:9">
      <c r="I717" s="155"/>
    </row>
    <row r="718" spans="9:9">
      <c r="I718" s="155"/>
    </row>
    <row r="719" spans="9:9">
      <c r="I719" s="155"/>
    </row>
    <row r="720" spans="9:9">
      <c r="I720" s="155"/>
    </row>
    <row r="721" spans="9:9">
      <c r="I721" s="155"/>
    </row>
    <row r="722" spans="9:9">
      <c r="I722" s="155"/>
    </row>
    <row r="723" spans="9:9">
      <c r="I723" s="155"/>
    </row>
    <row r="724" spans="9:9">
      <c r="I724" s="155"/>
    </row>
    <row r="725" spans="9:9">
      <c r="I725" s="155"/>
    </row>
    <row r="726" spans="9:9">
      <c r="I726" s="155"/>
    </row>
    <row r="727" spans="9:9">
      <c r="I727" s="155"/>
    </row>
    <row r="728" spans="9:9">
      <c r="I728" s="155"/>
    </row>
    <row r="729" spans="9:9">
      <c r="I729" s="155"/>
    </row>
    <row r="730" spans="9:9">
      <c r="I730" s="155"/>
    </row>
    <row r="731" spans="9:9">
      <c r="I731" s="155"/>
    </row>
    <row r="732" spans="9:9">
      <c r="I732" s="155"/>
    </row>
    <row r="733" spans="9:9">
      <c r="I733" s="155"/>
    </row>
    <row r="734" spans="9:9">
      <c r="I734" s="155"/>
    </row>
    <row r="735" spans="9:9">
      <c r="I735" s="155"/>
    </row>
    <row r="736" spans="9:9">
      <c r="I736" s="155"/>
    </row>
    <row r="737" spans="9:9">
      <c r="I737" s="155"/>
    </row>
    <row r="738" spans="9:9">
      <c r="I738" s="155"/>
    </row>
    <row r="739" spans="9:9">
      <c r="I739" s="155"/>
    </row>
    <row r="740" spans="9:9">
      <c r="I740" s="155"/>
    </row>
    <row r="741" spans="9:9">
      <c r="I741" s="155"/>
    </row>
    <row r="742" spans="9:9">
      <c r="I742" s="155"/>
    </row>
    <row r="743" spans="9:9">
      <c r="I743" s="155"/>
    </row>
    <row r="744" spans="9:9">
      <c r="I744" s="155"/>
    </row>
    <row r="745" spans="9:9">
      <c r="I745" s="155"/>
    </row>
    <row r="746" spans="9:9">
      <c r="I746" s="155"/>
    </row>
    <row r="747" spans="9:9">
      <c r="I747" s="155"/>
    </row>
    <row r="748" spans="9:9">
      <c r="I748" s="155"/>
    </row>
    <row r="749" spans="9:9">
      <c r="I749" s="155"/>
    </row>
    <row r="750" spans="9:9">
      <c r="I750" s="155"/>
    </row>
    <row r="751" spans="9:9">
      <c r="I751" s="155"/>
    </row>
    <row r="752" spans="9:9">
      <c r="I752" s="155"/>
    </row>
    <row r="753" spans="9:9">
      <c r="I753" s="155"/>
    </row>
    <row r="754" spans="9:9">
      <c r="I754" s="155"/>
    </row>
    <row r="755" spans="9:9">
      <c r="I755" s="155"/>
    </row>
    <row r="756" spans="9:9">
      <c r="I756" s="155"/>
    </row>
    <row r="757" spans="9:9">
      <c r="I757" s="155"/>
    </row>
    <row r="758" spans="9:9">
      <c r="I758" s="155"/>
    </row>
    <row r="759" spans="9:9">
      <c r="I759" s="155"/>
    </row>
    <row r="760" spans="9:9">
      <c r="I760" s="155"/>
    </row>
    <row r="761" spans="9:9">
      <c r="I761" s="155"/>
    </row>
    <row r="762" spans="9:9">
      <c r="I762" s="155"/>
    </row>
    <row r="763" spans="9:9">
      <c r="I763" s="155"/>
    </row>
    <row r="764" spans="9:9">
      <c r="I764" s="155"/>
    </row>
    <row r="765" spans="9:9">
      <c r="I765" s="155"/>
    </row>
    <row r="766" spans="9:9">
      <c r="I766" s="155"/>
    </row>
    <row r="767" spans="9:9">
      <c r="I767" s="155"/>
    </row>
    <row r="768" spans="9:9">
      <c r="I768" s="155"/>
    </row>
    <row r="769" spans="9:9">
      <c r="I769" s="155"/>
    </row>
    <row r="770" spans="9:9">
      <c r="I770" s="155"/>
    </row>
    <row r="771" spans="9:9">
      <c r="I771" s="155"/>
    </row>
    <row r="772" spans="9:9">
      <c r="I772" s="155"/>
    </row>
    <row r="773" spans="9:9">
      <c r="I773" s="155"/>
    </row>
    <row r="774" spans="9:9">
      <c r="I774" s="155"/>
    </row>
    <row r="775" spans="9:9">
      <c r="I775" s="155"/>
    </row>
    <row r="776" spans="9:9">
      <c r="I776" s="155"/>
    </row>
    <row r="777" spans="9:9">
      <c r="I777" s="155"/>
    </row>
    <row r="778" spans="9:9">
      <c r="I778" s="155"/>
    </row>
    <row r="779" spans="9:9">
      <c r="I779" s="155"/>
    </row>
    <row r="780" spans="9:9">
      <c r="I780" s="155"/>
    </row>
    <row r="781" spans="9:9">
      <c r="I781" s="155"/>
    </row>
    <row r="782" spans="9:9">
      <c r="I782" s="155"/>
    </row>
    <row r="783" spans="9:9">
      <c r="I783" s="155"/>
    </row>
    <row r="784" spans="9:9">
      <c r="I784" s="155"/>
    </row>
    <row r="785" spans="9:9">
      <c r="I785" s="155"/>
    </row>
    <row r="786" spans="9:9">
      <c r="I786" s="155"/>
    </row>
    <row r="787" spans="9:9">
      <c r="I787" s="155"/>
    </row>
    <row r="788" spans="9:9">
      <c r="I788" s="155"/>
    </row>
    <row r="789" spans="9:9">
      <c r="I789" s="155"/>
    </row>
    <row r="790" spans="9:9">
      <c r="I790" s="155"/>
    </row>
    <row r="791" spans="9:9">
      <c r="I791" s="155"/>
    </row>
    <row r="792" spans="9:9">
      <c r="I792" s="155"/>
    </row>
    <row r="793" spans="9:9">
      <c r="I793" s="155"/>
    </row>
    <row r="794" spans="9:9">
      <c r="I794" s="155"/>
    </row>
    <row r="795" spans="9:9">
      <c r="I795" s="155"/>
    </row>
    <row r="796" spans="9:9">
      <c r="I796" s="155"/>
    </row>
    <row r="797" spans="9:9">
      <c r="I797" s="155"/>
    </row>
    <row r="798" spans="9:9">
      <c r="I798" s="155"/>
    </row>
    <row r="799" spans="9:9">
      <c r="I799" s="155"/>
    </row>
    <row r="800" spans="9:9">
      <c r="I800" s="155"/>
    </row>
    <row r="801" spans="9:9">
      <c r="I801" s="155"/>
    </row>
    <row r="802" spans="9:9">
      <c r="I802" s="155"/>
    </row>
    <row r="803" spans="9:9">
      <c r="I803" s="155"/>
    </row>
    <row r="804" spans="9:9">
      <c r="I804" s="155"/>
    </row>
    <row r="805" spans="9:9">
      <c r="I805" s="155"/>
    </row>
    <row r="806" spans="9:9">
      <c r="I806" s="155"/>
    </row>
    <row r="807" spans="9:9">
      <c r="I807" s="155"/>
    </row>
    <row r="808" spans="9:9">
      <c r="I808" s="155"/>
    </row>
    <row r="809" spans="9:9">
      <c r="I809" s="155"/>
    </row>
    <row r="810" spans="9:9">
      <c r="I810" s="155"/>
    </row>
    <row r="811" spans="9:9">
      <c r="I811" s="155"/>
    </row>
    <row r="812" spans="9:9">
      <c r="I812" s="155"/>
    </row>
    <row r="813" spans="9:9">
      <c r="I813" s="155"/>
    </row>
    <row r="814" spans="9:9">
      <c r="I814" s="155"/>
    </row>
    <row r="815" spans="9:9">
      <c r="I815" s="155"/>
    </row>
    <row r="816" spans="9:9">
      <c r="I816" s="155"/>
    </row>
    <row r="817" spans="9:9">
      <c r="I817" s="155"/>
    </row>
    <row r="818" spans="9:9">
      <c r="I818" s="155"/>
    </row>
    <row r="819" spans="9:9">
      <c r="I819" s="155"/>
    </row>
    <row r="820" spans="9:9">
      <c r="I820" s="155"/>
    </row>
    <row r="821" spans="9:9">
      <c r="I821" s="155"/>
    </row>
    <row r="822" spans="9:9">
      <c r="I822" s="155"/>
    </row>
    <row r="823" spans="9:9">
      <c r="I823" s="155"/>
    </row>
    <row r="824" spans="9:9">
      <c r="I824" s="155"/>
    </row>
    <row r="825" spans="9:9">
      <c r="I825" s="155"/>
    </row>
    <row r="826" spans="9:9">
      <c r="I826" s="155"/>
    </row>
    <row r="827" spans="9:9">
      <c r="I827" s="155"/>
    </row>
    <row r="828" spans="9:9">
      <c r="I828" s="155"/>
    </row>
    <row r="829" spans="9:9">
      <c r="I829" s="155"/>
    </row>
    <row r="830" spans="9:9">
      <c r="I830" s="155"/>
    </row>
    <row r="831" spans="9:9">
      <c r="I831" s="155"/>
    </row>
    <row r="832" spans="9:9">
      <c r="I832" s="155"/>
    </row>
    <row r="833" spans="9:9">
      <c r="I833" s="155"/>
    </row>
    <row r="834" spans="9:9">
      <c r="I834" s="155"/>
    </row>
    <row r="835" spans="9:9">
      <c r="I835" s="155"/>
    </row>
    <row r="836" spans="9:9">
      <c r="I836" s="155"/>
    </row>
    <row r="837" spans="9:9">
      <c r="I837" s="155"/>
    </row>
    <row r="838" spans="9:9">
      <c r="I838" s="155"/>
    </row>
    <row r="839" spans="9:9">
      <c r="I839" s="155"/>
    </row>
    <row r="840" spans="9:9">
      <c r="I840" s="155"/>
    </row>
    <row r="841" spans="9:9">
      <c r="I841" s="155"/>
    </row>
    <row r="842" spans="9:9">
      <c r="I842" s="155"/>
    </row>
    <row r="843" spans="9:9">
      <c r="I843" s="155"/>
    </row>
    <row r="844" spans="9:9">
      <c r="I844" s="155"/>
    </row>
    <row r="845" spans="9:9">
      <c r="I845" s="155"/>
    </row>
    <row r="846" spans="9:9">
      <c r="I846" s="155"/>
    </row>
    <row r="847" spans="9:9">
      <c r="I847" s="155"/>
    </row>
    <row r="848" spans="9:9">
      <c r="I848" s="155"/>
    </row>
    <row r="849" spans="9:9">
      <c r="I849" s="155"/>
    </row>
    <row r="850" spans="9:9">
      <c r="I850" s="155"/>
    </row>
    <row r="851" spans="9:9">
      <c r="I851" s="155"/>
    </row>
    <row r="852" spans="9:9">
      <c r="I852" s="155"/>
    </row>
    <row r="853" spans="9:9">
      <c r="I853" s="155"/>
    </row>
    <row r="854" spans="9:9">
      <c r="I854" s="155"/>
    </row>
    <row r="855" spans="9:9">
      <c r="I855" s="155"/>
    </row>
    <row r="856" spans="9:9">
      <c r="I856" s="155"/>
    </row>
    <row r="857" spans="9:9">
      <c r="I857" s="155"/>
    </row>
    <row r="858" spans="9:9">
      <c r="I858" s="155"/>
    </row>
    <row r="859" spans="9:9">
      <c r="I859" s="155"/>
    </row>
    <row r="860" spans="9:9">
      <c r="I860" s="155"/>
    </row>
    <row r="861" spans="9:9">
      <c r="I861" s="155"/>
    </row>
    <row r="862" spans="9:9">
      <c r="I862" s="155"/>
    </row>
    <row r="863" spans="9:9">
      <c r="I863" s="155"/>
    </row>
    <row r="864" spans="9:9">
      <c r="I864" s="155"/>
    </row>
    <row r="865" spans="9:9">
      <c r="I865" s="155"/>
    </row>
    <row r="866" spans="9:9">
      <c r="I866" s="155"/>
    </row>
    <row r="867" spans="9:9">
      <c r="I867" s="155"/>
    </row>
    <row r="868" spans="9:9">
      <c r="I868" s="155"/>
    </row>
    <row r="869" spans="9:9">
      <c r="I869" s="155"/>
    </row>
    <row r="870" spans="9:9">
      <c r="I870" s="155"/>
    </row>
    <row r="871" spans="9:9">
      <c r="I871" s="155"/>
    </row>
    <row r="872" spans="9:9">
      <c r="I872" s="155"/>
    </row>
    <row r="873" spans="9:9">
      <c r="I873" s="155"/>
    </row>
    <row r="874" spans="9:9">
      <c r="I874" s="155"/>
    </row>
    <row r="875" spans="9:9">
      <c r="I875" s="155"/>
    </row>
    <row r="876" spans="9:9">
      <c r="I876" s="155"/>
    </row>
    <row r="877" spans="9:9">
      <c r="I877" s="155"/>
    </row>
    <row r="878" spans="9:9">
      <c r="I878" s="155"/>
    </row>
    <row r="879" spans="9:9">
      <c r="I879" s="155"/>
    </row>
    <row r="880" spans="9:9">
      <c r="I880" s="155"/>
    </row>
    <row r="881" spans="9:9">
      <c r="I881" s="155"/>
    </row>
    <row r="882" spans="9:9">
      <c r="I882" s="155"/>
    </row>
    <row r="883" spans="9:9">
      <c r="I883" s="155"/>
    </row>
    <row r="884" spans="9:9">
      <c r="I884" s="155"/>
    </row>
    <row r="885" spans="9:9">
      <c r="I885" s="155"/>
    </row>
    <row r="886" spans="9:9">
      <c r="I886" s="155"/>
    </row>
    <row r="887" spans="9:9">
      <c r="I887" s="155"/>
    </row>
    <row r="888" spans="9:9">
      <c r="I888" s="155"/>
    </row>
    <row r="889" spans="9:9">
      <c r="I889" s="155"/>
    </row>
    <row r="890" spans="9:9">
      <c r="I890" s="155"/>
    </row>
    <row r="891" spans="9:9">
      <c r="I891" s="155"/>
    </row>
    <row r="892" spans="9:9">
      <c r="I892" s="155"/>
    </row>
    <row r="893" spans="9:9">
      <c r="I893" s="155"/>
    </row>
    <row r="894" spans="9:9">
      <c r="I894" s="155"/>
    </row>
    <row r="895" spans="9:9">
      <c r="I895" s="155"/>
    </row>
    <row r="896" spans="9:9">
      <c r="I896" s="155"/>
    </row>
    <row r="897" spans="9:9">
      <c r="I897" s="155"/>
    </row>
    <row r="898" spans="9:9">
      <c r="I898" s="155"/>
    </row>
    <row r="899" spans="9:9">
      <c r="I899" s="155"/>
    </row>
    <row r="900" spans="9:9">
      <c r="I900" s="155"/>
    </row>
    <row r="901" spans="9:9">
      <c r="I901" s="155"/>
    </row>
    <row r="902" spans="9:9">
      <c r="I902" s="155"/>
    </row>
    <row r="903" spans="9:9">
      <c r="I903" s="155"/>
    </row>
    <row r="904" spans="9:9">
      <c r="I904" s="155"/>
    </row>
    <row r="905" spans="9:9">
      <c r="I905" s="155"/>
    </row>
    <row r="906" spans="9:9">
      <c r="I906" s="155"/>
    </row>
    <row r="907" spans="9:9">
      <c r="I907" s="155"/>
    </row>
    <row r="908" spans="9:9">
      <c r="I908" s="155"/>
    </row>
    <row r="909" spans="9:9">
      <c r="I909" s="155"/>
    </row>
    <row r="910" spans="9:9">
      <c r="I910" s="155"/>
    </row>
    <row r="911" spans="9:9">
      <c r="I911" s="155"/>
    </row>
    <row r="912" spans="9:9">
      <c r="I912" s="155"/>
    </row>
    <row r="913" spans="9:9">
      <c r="I913" s="155"/>
    </row>
    <row r="914" spans="9:9">
      <c r="I914" s="155"/>
    </row>
    <row r="915" spans="9:9">
      <c r="I915" s="155"/>
    </row>
    <row r="916" spans="9:9">
      <c r="I916" s="155"/>
    </row>
    <row r="917" spans="9:9">
      <c r="I917" s="155"/>
    </row>
    <row r="918" spans="9:9">
      <c r="I918" s="155"/>
    </row>
    <row r="919" spans="9:9">
      <c r="I919" s="155"/>
    </row>
    <row r="920" spans="9:9">
      <c r="I920" s="155"/>
    </row>
    <row r="921" spans="9:9">
      <c r="I921" s="155"/>
    </row>
    <row r="922" spans="9:9">
      <c r="I922" s="155"/>
    </row>
    <row r="923" spans="9:9">
      <c r="I923" s="155"/>
    </row>
    <row r="924" spans="9:9">
      <c r="I924" s="155"/>
    </row>
    <row r="925" spans="9:9">
      <c r="I925" s="155"/>
    </row>
    <row r="926" spans="9:9">
      <c r="I926" s="155"/>
    </row>
    <row r="927" spans="9:9">
      <c r="I927" s="155"/>
    </row>
    <row r="928" spans="9:9">
      <c r="I928" s="155"/>
    </row>
    <row r="929" spans="9:9">
      <c r="I929" s="155"/>
    </row>
    <row r="930" spans="9:9">
      <c r="I930" s="155"/>
    </row>
    <row r="931" spans="9:9">
      <c r="I931" s="155"/>
    </row>
    <row r="932" spans="9:9">
      <c r="I932" s="155"/>
    </row>
    <row r="933" spans="9:9">
      <c r="I933" s="155"/>
    </row>
    <row r="934" spans="9:9">
      <c r="I934" s="155"/>
    </row>
    <row r="935" spans="9:9">
      <c r="I935" s="155"/>
    </row>
    <row r="936" spans="9:9">
      <c r="I936" s="155"/>
    </row>
    <row r="937" spans="9:9">
      <c r="I937" s="155"/>
    </row>
    <row r="938" spans="9:9">
      <c r="I938" s="155"/>
    </row>
    <row r="939" spans="9:9">
      <c r="I939" s="155"/>
    </row>
    <row r="940" spans="9:9">
      <c r="I940" s="155"/>
    </row>
    <row r="941" spans="9:9">
      <c r="I941" s="155"/>
    </row>
    <row r="942" spans="9:9">
      <c r="I942" s="155"/>
    </row>
    <row r="943" spans="9:9">
      <c r="I943" s="155"/>
    </row>
    <row r="944" spans="9:9">
      <c r="I944" s="155"/>
    </row>
    <row r="945" spans="9:9">
      <c r="I945" s="155"/>
    </row>
    <row r="946" spans="9:9">
      <c r="I946" s="155"/>
    </row>
    <row r="947" spans="9:9">
      <c r="I947" s="155"/>
    </row>
    <row r="948" spans="9:9">
      <c r="I948" s="155"/>
    </row>
    <row r="949" spans="9:9">
      <c r="I949" s="155"/>
    </row>
    <row r="950" spans="9:9">
      <c r="I950" s="155"/>
    </row>
    <row r="951" spans="9:9">
      <c r="I951" s="155"/>
    </row>
    <row r="952" spans="9:9">
      <c r="I952" s="155"/>
    </row>
    <row r="953" spans="9:9">
      <c r="I953" s="155"/>
    </row>
    <row r="954" spans="9:9">
      <c r="I954" s="155"/>
    </row>
    <row r="955" spans="9:9">
      <c r="I955" s="155"/>
    </row>
    <row r="956" spans="9:9">
      <c r="I956" s="155"/>
    </row>
    <row r="957" spans="9:9">
      <c r="I957" s="155"/>
    </row>
    <row r="958" spans="9:9">
      <c r="I958" s="155"/>
    </row>
    <row r="959" spans="9:9">
      <c r="I959" s="155"/>
    </row>
    <row r="960" spans="9:9">
      <c r="I960" s="155"/>
    </row>
    <row r="961" spans="9:9">
      <c r="I961" s="155"/>
    </row>
    <row r="962" spans="9:9">
      <c r="I962" s="155"/>
    </row>
    <row r="963" spans="9:9">
      <c r="I963" s="155"/>
    </row>
    <row r="964" spans="9:9">
      <c r="I964" s="155"/>
    </row>
    <row r="965" spans="9:9">
      <c r="I965" s="155"/>
    </row>
    <row r="966" spans="9:9">
      <c r="I966" s="155"/>
    </row>
    <row r="967" spans="9:9">
      <c r="I967" s="155"/>
    </row>
    <row r="968" spans="9:9">
      <c r="I968" s="155"/>
    </row>
    <row r="969" spans="9:9">
      <c r="I969" s="155"/>
    </row>
    <row r="970" spans="9:9">
      <c r="I970" s="155"/>
    </row>
    <row r="971" spans="9:9">
      <c r="I971" s="155"/>
    </row>
    <row r="972" spans="9:9">
      <c r="I972" s="155"/>
    </row>
    <row r="973" spans="9:9">
      <c r="I973" s="155"/>
    </row>
    <row r="974" spans="9:9">
      <c r="I974" s="155"/>
    </row>
    <row r="975" spans="9:9">
      <c r="I975" s="155"/>
    </row>
    <row r="976" spans="9:9">
      <c r="I976" s="155"/>
    </row>
    <row r="977" spans="9:9">
      <c r="I977" s="155"/>
    </row>
    <row r="978" spans="9:9">
      <c r="I978" s="155"/>
    </row>
    <row r="979" spans="9:9">
      <c r="I979" s="155"/>
    </row>
    <row r="980" spans="9:9">
      <c r="I980" s="155"/>
    </row>
    <row r="981" spans="9:9">
      <c r="I981" s="155"/>
    </row>
    <row r="982" spans="9:9">
      <c r="I982" s="155"/>
    </row>
    <row r="983" spans="9:9">
      <c r="I983" s="155"/>
    </row>
    <row r="984" spans="9:9">
      <c r="I984" s="155"/>
    </row>
    <row r="985" spans="9:9">
      <c r="I985" s="155"/>
    </row>
    <row r="986" spans="9:9">
      <c r="I986" s="155"/>
    </row>
    <row r="987" spans="9:9">
      <c r="I987" s="155"/>
    </row>
    <row r="988" spans="9:9">
      <c r="I988" s="155"/>
    </row>
    <row r="989" spans="9:9">
      <c r="I989" s="155"/>
    </row>
    <row r="990" spans="9:9">
      <c r="I990" s="155"/>
    </row>
    <row r="991" spans="9:9">
      <c r="I991" s="155"/>
    </row>
    <row r="992" spans="9:9">
      <c r="I992" s="155"/>
    </row>
    <row r="993" spans="9:9">
      <c r="I993" s="155"/>
    </row>
    <row r="994" spans="9:9">
      <c r="I994" s="155"/>
    </row>
    <row r="995" spans="9:9">
      <c r="I995" s="155"/>
    </row>
    <row r="996" spans="9:9">
      <c r="I996" s="155"/>
    </row>
    <row r="997" spans="9:9">
      <c r="I997" s="155"/>
    </row>
    <row r="998" spans="9:9">
      <c r="I998" s="155"/>
    </row>
    <row r="999" spans="9:9">
      <c r="I999" s="155"/>
    </row>
    <row r="1000" spans="9:9">
      <c r="I1000" s="155"/>
    </row>
    <row r="1001" spans="9:9">
      <c r="I1001" s="155"/>
    </row>
    <row r="1002" spans="9:9">
      <c r="I1002" s="155"/>
    </row>
    <row r="1003" spans="9:9">
      <c r="I1003" s="155"/>
    </row>
    <row r="1004" spans="9:9">
      <c r="I1004" s="155"/>
    </row>
    <row r="1005" spans="9:9">
      <c r="I1005" s="155"/>
    </row>
    <row r="1006" spans="9:9">
      <c r="I1006" s="155"/>
    </row>
    <row r="1007" spans="9:9">
      <c r="I1007" s="155"/>
    </row>
    <row r="1008" spans="9:9">
      <c r="I1008" s="155"/>
    </row>
    <row r="1009" spans="9:9">
      <c r="I1009" s="155"/>
    </row>
    <row r="1010" spans="9:9">
      <c r="I1010" s="155"/>
    </row>
    <row r="1011" spans="9:9">
      <c r="I1011" s="155"/>
    </row>
    <row r="1012" spans="9:9">
      <c r="I1012" s="155"/>
    </row>
    <row r="1013" spans="9:9">
      <c r="I1013" s="155"/>
    </row>
    <row r="1014" spans="9:9">
      <c r="I1014" s="155"/>
    </row>
    <row r="1015" spans="9:9">
      <c r="I1015" s="155"/>
    </row>
    <row r="1016" spans="9:9">
      <c r="I1016" s="155"/>
    </row>
    <row r="1017" spans="9:9">
      <c r="I1017" s="155"/>
    </row>
    <row r="1018" spans="9:9">
      <c r="I1018" s="155"/>
    </row>
    <row r="1019" spans="9:9">
      <c r="I1019" s="155"/>
    </row>
    <row r="1020" spans="9:9">
      <c r="I1020" s="155"/>
    </row>
    <row r="1021" spans="9:9">
      <c r="I1021" s="155"/>
    </row>
    <row r="1022" spans="9:9">
      <c r="I1022" s="155"/>
    </row>
    <row r="1023" spans="9:9">
      <c r="I1023" s="155"/>
    </row>
    <row r="1024" spans="9:9">
      <c r="I1024" s="155"/>
    </row>
    <row r="1025" spans="9:9">
      <c r="I1025" s="155"/>
    </row>
    <row r="1026" spans="9:9">
      <c r="I1026" s="155"/>
    </row>
    <row r="1027" spans="9:9">
      <c r="I1027" s="155"/>
    </row>
    <row r="1028" spans="9:9">
      <c r="I1028" s="155"/>
    </row>
    <row r="1029" spans="9:9">
      <c r="I1029" s="155"/>
    </row>
    <row r="1030" spans="9:9">
      <c r="I1030" s="155"/>
    </row>
    <row r="1031" spans="9:9">
      <c r="I1031" s="155"/>
    </row>
    <row r="1032" spans="9:9">
      <c r="I1032" s="155"/>
    </row>
    <row r="1033" spans="9:9">
      <c r="I1033" s="155"/>
    </row>
    <row r="1034" spans="9:9">
      <c r="I1034" s="155"/>
    </row>
    <row r="1035" spans="9:9">
      <c r="I1035" s="155"/>
    </row>
    <row r="1036" spans="9:9">
      <c r="I1036" s="155"/>
    </row>
    <row r="1037" spans="9:9">
      <c r="I1037" s="155"/>
    </row>
    <row r="1038" spans="9:9">
      <c r="I1038" s="155"/>
    </row>
    <row r="1039" spans="9:9">
      <c r="I1039" s="155"/>
    </row>
    <row r="1040" spans="9:9">
      <c r="I1040" s="155"/>
    </row>
    <row r="1041" spans="9:9">
      <c r="I1041" s="155"/>
    </row>
    <row r="1042" spans="9:9">
      <c r="I1042" s="155"/>
    </row>
    <row r="1043" spans="9:9">
      <c r="I1043" s="155"/>
    </row>
    <row r="1044" spans="9:9">
      <c r="I1044" s="155"/>
    </row>
    <row r="1045" spans="9:9">
      <c r="I1045" s="155"/>
    </row>
    <row r="1046" spans="9:9">
      <c r="I1046" s="155"/>
    </row>
    <row r="1047" spans="9:9">
      <c r="I1047" s="155"/>
    </row>
    <row r="1048" spans="9:9">
      <c r="I1048" s="155"/>
    </row>
    <row r="1049" spans="9:9">
      <c r="I1049" s="155"/>
    </row>
    <row r="1050" spans="9:9">
      <c r="I1050" s="155"/>
    </row>
    <row r="1051" spans="9:9">
      <c r="I1051" s="155"/>
    </row>
    <row r="1052" spans="9:9">
      <c r="I1052" s="155"/>
    </row>
    <row r="1053" spans="9:9">
      <c r="I1053" s="155"/>
    </row>
    <row r="1054" spans="9:9">
      <c r="I1054" s="155"/>
    </row>
    <row r="1055" spans="9:9">
      <c r="I1055" s="155"/>
    </row>
    <row r="1056" spans="9:9">
      <c r="I1056" s="155"/>
    </row>
    <row r="1057" spans="9:9">
      <c r="I1057" s="155"/>
    </row>
    <row r="1058" spans="9:9">
      <c r="I1058" s="155"/>
    </row>
    <row r="1059" spans="9:9">
      <c r="I1059" s="155"/>
    </row>
    <row r="1060" spans="9:9">
      <c r="I1060" s="155"/>
    </row>
    <row r="1061" spans="9:9">
      <c r="I1061" s="155"/>
    </row>
    <row r="1062" spans="9:9">
      <c r="I1062" s="155"/>
    </row>
    <row r="1063" spans="9:9">
      <c r="I1063" s="155"/>
    </row>
    <row r="1064" spans="9:9">
      <c r="I1064" s="155"/>
    </row>
    <row r="1065" spans="9:9">
      <c r="I1065" s="155"/>
    </row>
    <row r="1066" spans="9:9">
      <c r="I1066" s="155"/>
    </row>
    <row r="1067" spans="9:9">
      <c r="I1067" s="155"/>
    </row>
    <row r="1068" spans="9:9">
      <c r="I1068" s="155"/>
    </row>
    <row r="1069" spans="9:9">
      <c r="I1069" s="155"/>
    </row>
    <row r="1070" spans="9:9">
      <c r="I1070" s="155"/>
    </row>
    <row r="1071" spans="9:9">
      <c r="I1071" s="155"/>
    </row>
    <row r="1072" spans="9:9">
      <c r="I1072" s="155"/>
    </row>
    <row r="1073" spans="9:9">
      <c r="I1073" s="155"/>
    </row>
    <row r="1074" spans="9:9">
      <c r="I1074" s="155"/>
    </row>
    <row r="1075" spans="9:9">
      <c r="I1075" s="155"/>
    </row>
    <row r="1076" spans="9:9">
      <c r="I1076" s="155"/>
    </row>
    <row r="1077" spans="9:9">
      <c r="I1077" s="155"/>
    </row>
    <row r="1078" spans="9:9">
      <c r="I1078" s="155"/>
    </row>
    <row r="1079" spans="9:9">
      <c r="I1079" s="155"/>
    </row>
    <row r="1080" spans="9:9">
      <c r="I1080" s="155"/>
    </row>
    <row r="1081" spans="9:9">
      <c r="I1081" s="155"/>
    </row>
    <row r="1082" spans="9:9">
      <c r="I1082" s="155"/>
    </row>
    <row r="1083" spans="9:9">
      <c r="I1083" s="155"/>
    </row>
    <row r="1084" spans="9:9">
      <c r="I1084" s="155"/>
    </row>
    <row r="1085" spans="9:9">
      <c r="I1085" s="155"/>
    </row>
    <row r="1086" spans="9:9">
      <c r="I1086" s="155"/>
    </row>
    <row r="1087" spans="9:9">
      <c r="I1087" s="155"/>
    </row>
    <row r="1088" spans="9:9">
      <c r="I1088" s="155"/>
    </row>
    <row r="1089" spans="9:9">
      <c r="I1089" s="155"/>
    </row>
    <row r="1090" spans="9:9">
      <c r="I1090" s="155"/>
    </row>
    <row r="1091" spans="9:9">
      <c r="I1091" s="155"/>
    </row>
    <row r="1092" spans="9:9">
      <c r="I1092" s="155"/>
    </row>
    <row r="1093" spans="9:9">
      <c r="I1093" s="155"/>
    </row>
    <row r="1094" spans="9:9">
      <c r="I1094" s="155"/>
    </row>
    <row r="1095" spans="9:9">
      <c r="I1095" s="155"/>
    </row>
    <row r="1096" spans="9:9">
      <c r="I1096" s="155"/>
    </row>
    <row r="1097" spans="9:9">
      <c r="I1097" s="155"/>
    </row>
    <row r="1098" spans="9:9">
      <c r="I1098" s="155"/>
    </row>
    <row r="1099" spans="9:9">
      <c r="I1099" s="155"/>
    </row>
    <row r="1100" spans="9:9">
      <c r="I1100" s="155"/>
    </row>
    <row r="1101" spans="9:9">
      <c r="I1101" s="155"/>
    </row>
    <row r="1102" spans="9:9">
      <c r="I1102" s="155"/>
    </row>
    <row r="1103" spans="9:9">
      <c r="I1103" s="155"/>
    </row>
    <row r="1104" spans="9:9">
      <c r="I1104" s="155"/>
    </row>
    <row r="1105" spans="9:9">
      <c r="I1105" s="155"/>
    </row>
    <row r="1106" spans="9:9">
      <c r="I1106" s="155"/>
    </row>
    <row r="1107" spans="9:9">
      <c r="I1107" s="155"/>
    </row>
    <row r="1108" spans="9:9">
      <c r="I1108" s="155"/>
    </row>
    <row r="1109" spans="9:9">
      <c r="I1109" s="155"/>
    </row>
    <row r="1110" spans="9:9">
      <c r="I1110" s="155"/>
    </row>
    <row r="1111" spans="9:9">
      <c r="I1111" s="155"/>
    </row>
    <row r="1112" spans="9:9">
      <c r="I1112" s="155"/>
    </row>
    <row r="1113" spans="9:9">
      <c r="I1113" s="155"/>
    </row>
    <row r="1114" spans="9:9">
      <c r="I1114" s="155"/>
    </row>
    <row r="1115" spans="9:9">
      <c r="I1115" s="155"/>
    </row>
    <row r="1116" spans="9:9">
      <c r="I1116" s="155"/>
    </row>
    <row r="1117" spans="9:9">
      <c r="I1117" s="155"/>
    </row>
    <row r="1118" spans="9:9">
      <c r="I1118" s="155"/>
    </row>
    <row r="1119" spans="9:9">
      <c r="I1119" s="155"/>
    </row>
    <row r="1120" spans="9:9">
      <c r="I1120" s="155"/>
    </row>
    <row r="1121" spans="9:9">
      <c r="I1121" s="155"/>
    </row>
    <row r="1122" spans="9:9">
      <c r="I1122" s="155"/>
    </row>
    <row r="1123" spans="9:9">
      <c r="I1123" s="155"/>
    </row>
    <row r="1124" spans="9:9">
      <c r="I1124" s="155"/>
    </row>
    <row r="1125" spans="9:9">
      <c r="I1125" s="155"/>
    </row>
    <row r="1126" spans="9:9">
      <c r="I1126" s="155"/>
    </row>
    <row r="1127" spans="9:9">
      <c r="I1127" s="155"/>
    </row>
    <row r="1128" spans="9:9">
      <c r="I1128" s="155"/>
    </row>
    <row r="1129" spans="9:9">
      <c r="I1129" s="155"/>
    </row>
    <row r="1130" spans="9:9">
      <c r="I1130" s="155"/>
    </row>
    <row r="1131" spans="9:9">
      <c r="I1131" s="155"/>
    </row>
    <row r="1132" spans="9:9">
      <c r="I1132" s="155"/>
    </row>
    <row r="1133" spans="9:9">
      <c r="I1133" s="155"/>
    </row>
    <row r="1134" spans="9:9">
      <c r="I1134" s="155"/>
    </row>
    <row r="1135" spans="9:9">
      <c r="I1135" s="155"/>
    </row>
    <row r="1136" spans="9:9">
      <c r="I1136" s="155"/>
    </row>
    <row r="1137" spans="9:9">
      <c r="I1137" s="155"/>
    </row>
    <row r="1138" spans="9:9">
      <c r="I1138" s="155"/>
    </row>
    <row r="1139" spans="9:9">
      <c r="I1139" s="155"/>
    </row>
    <row r="1140" spans="9:9">
      <c r="I1140" s="155"/>
    </row>
    <row r="1141" spans="9:9">
      <c r="I1141" s="155"/>
    </row>
    <row r="1142" spans="9:9">
      <c r="I1142" s="155"/>
    </row>
    <row r="1143" spans="9:9">
      <c r="I1143" s="155"/>
    </row>
    <row r="1144" spans="9:9">
      <c r="I1144" s="155"/>
    </row>
    <row r="1145" spans="9:9">
      <c r="I1145" s="155"/>
    </row>
    <row r="1146" spans="9:9">
      <c r="I1146" s="155"/>
    </row>
    <row r="1147" spans="9:9">
      <c r="I1147" s="155"/>
    </row>
    <row r="1148" spans="9:9">
      <c r="I1148" s="155"/>
    </row>
    <row r="1149" spans="9:9">
      <c r="I1149" s="155"/>
    </row>
    <row r="1150" spans="9:9">
      <c r="I1150" s="155"/>
    </row>
    <row r="1151" spans="9:9">
      <c r="I1151" s="155"/>
    </row>
    <row r="1152" spans="9:9">
      <c r="I1152" s="155"/>
    </row>
    <row r="1153" spans="9:9">
      <c r="I1153" s="155"/>
    </row>
    <row r="1154" spans="9:9">
      <c r="I1154" s="155"/>
    </row>
    <row r="1155" spans="9:9">
      <c r="I1155" s="155"/>
    </row>
    <row r="1156" spans="9:9">
      <c r="I1156" s="155"/>
    </row>
    <row r="1157" spans="9:9">
      <c r="I1157" s="155"/>
    </row>
    <row r="1158" spans="9:9">
      <c r="I1158" s="155"/>
    </row>
    <row r="1159" spans="9:9">
      <c r="I1159" s="155"/>
    </row>
    <row r="1160" spans="9:9">
      <c r="I1160" s="155"/>
    </row>
    <row r="1161" spans="9:9">
      <c r="I1161" s="155"/>
    </row>
    <row r="1162" spans="9:9">
      <c r="I1162" s="155"/>
    </row>
    <row r="1163" spans="9:9">
      <c r="I1163" s="155"/>
    </row>
    <row r="1164" spans="9:9">
      <c r="I1164" s="155"/>
    </row>
    <row r="1165" spans="9:9">
      <c r="I1165" s="155"/>
    </row>
    <row r="1166" spans="9:9">
      <c r="I1166" s="155"/>
    </row>
    <row r="1167" spans="9:9">
      <c r="I1167" s="155"/>
    </row>
    <row r="1168" spans="9:9">
      <c r="I1168" s="155"/>
    </row>
    <row r="1169" spans="9:9">
      <c r="I1169" s="155"/>
    </row>
    <row r="1170" spans="9:9">
      <c r="I1170" s="155"/>
    </row>
    <row r="1171" spans="9:9">
      <c r="I1171" s="155"/>
    </row>
    <row r="1172" spans="9:9">
      <c r="I1172" s="155"/>
    </row>
    <row r="1173" spans="9:9">
      <c r="I1173" s="155"/>
    </row>
    <row r="1174" spans="9:9">
      <c r="I1174" s="155"/>
    </row>
    <row r="1175" spans="9:9">
      <c r="I1175" s="155"/>
    </row>
    <row r="1176" spans="9:9">
      <c r="I1176" s="155"/>
    </row>
    <row r="1177" spans="9:9">
      <c r="I1177" s="155"/>
    </row>
    <row r="1178" spans="9:9">
      <c r="I1178" s="155"/>
    </row>
    <row r="1179" spans="9:9">
      <c r="I1179" s="155"/>
    </row>
    <row r="1180" spans="9:9">
      <c r="I1180" s="155"/>
    </row>
    <row r="1181" spans="9:9">
      <c r="I1181" s="155"/>
    </row>
    <row r="1182" spans="9:9">
      <c r="I1182" s="155"/>
    </row>
    <row r="1183" spans="9:9">
      <c r="I1183" s="155"/>
    </row>
    <row r="1184" spans="9:9">
      <c r="I1184" s="155"/>
    </row>
    <row r="1185" spans="9:9">
      <c r="I1185" s="155"/>
    </row>
    <row r="1186" spans="9:9">
      <c r="I1186" s="155"/>
    </row>
    <row r="1187" spans="9:9">
      <c r="I1187" s="155"/>
    </row>
    <row r="1188" spans="9:9">
      <c r="I1188" s="155"/>
    </row>
    <row r="1189" spans="9:9">
      <c r="I1189" s="155"/>
    </row>
    <row r="1190" spans="9:9">
      <c r="I1190" s="155"/>
    </row>
    <row r="1191" spans="9:9">
      <c r="I1191" s="155"/>
    </row>
    <row r="1192" spans="9:9">
      <c r="I1192" s="155"/>
    </row>
    <row r="1193" spans="9:9">
      <c r="I1193" s="155"/>
    </row>
    <row r="1194" spans="9:9">
      <c r="I1194" s="155"/>
    </row>
    <row r="1195" spans="9:9">
      <c r="I1195" s="155"/>
    </row>
    <row r="1196" spans="9:9">
      <c r="I1196" s="155"/>
    </row>
    <row r="1197" spans="9:9">
      <c r="I1197" s="155"/>
    </row>
    <row r="1198" spans="9:9">
      <c r="I1198" s="155"/>
    </row>
    <row r="1199" spans="9:9">
      <c r="I1199" s="155"/>
    </row>
    <row r="1200" spans="9:9">
      <c r="I1200" s="155"/>
    </row>
    <row r="1201" spans="9:9">
      <c r="I1201" s="155"/>
    </row>
    <row r="1202" spans="9:9">
      <c r="I1202" s="155"/>
    </row>
    <row r="1203" spans="9:9">
      <c r="I1203" s="155"/>
    </row>
    <row r="1204" spans="9:9">
      <c r="I1204" s="155"/>
    </row>
    <row r="1205" spans="9:9">
      <c r="I1205" s="155"/>
    </row>
    <row r="1206" spans="9:9">
      <c r="I1206" s="155"/>
    </row>
    <row r="1207" spans="9:9">
      <c r="I1207" s="155"/>
    </row>
    <row r="1208" spans="9:9">
      <c r="I1208" s="155"/>
    </row>
    <row r="1209" spans="9:9">
      <c r="I1209" s="155"/>
    </row>
    <row r="1210" spans="9:9">
      <c r="I1210" s="155"/>
    </row>
    <row r="1211" spans="9:9">
      <c r="I1211" s="155"/>
    </row>
    <row r="1212" spans="9:9">
      <c r="I1212" s="155"/>
    </row>
    <row r="1213" spans="9:9">
      <c r="I1213" s="155"/>
    </row>
    <row r="1214" spans="9:9">
      <c r="I1214" s="155"/>
    </row>
    <row r="1215" spans="9:9">
      <c r="I1215" s="155"/>
    </row>
    <row r="1216" spans="9:9">
      <c r="I1216" s="155"/>
    </row>
    <row r="1217" spans="9:9">
      <c r="I1217" s="155"/>
    </row>
    <row r="1218" spans="9:9">
      <c r="I1218" s="155"/>
    </row>
    <row r="1219" spans="9:9">
      <c r="I1219" s="155"/>
    </row>
    <row r="1220" spans="9:9">
      <c r="I1220" s="155"/>
    </row>
    <row r="1221" spans="9:9">
      <c r="I1221" s="155"/>
    </row>
    <row r="1222" spans="9:9">
      <c r="I1222" s="155"/>
    </row>
    <row r="1223" spans="9:9">
      <c r="I1223" s="155"/>
    </row>
    <row r="1224" spans="9:9">
      <c r="I1224" s="155"/>
    </row>
    <row r="1225" spans="9:9">
      <c r="I1225" s="155"/>
    </row>
    <row r="1226" spans="9:9">
      <c r="I1226" s="155"/>
    </row>
    <row r="1227" spans="9:9">
      <c r="I1227" s="155"/>
    </row>
    <row r="1228" spans="9:9">
      <c r="I1228" s="155"/>
    </row>
    <row r="1229" spans="9:9">
      <c r="I1229" s="155"/>
    </row>
    <row r="1230" spans="9:9">
      <c r="I1230" s="155"/>
    </row>
    <row r="1231" spans="9:9">
      <c r="I1231" s="155"/>
    </row>
    <row r="1232" spans="9:9">
      <c r="I1232" s="155"/>
    </row>
    <row r="1233" spans="9:9">
      <c r="I1233" s="155"/>
    </row>
    <row r="1234" spans="9:9">
      <c r="I1234" s="155"/>
    </row>
    <row r="1235" spans="9:9">
      <c r="I1235" s="155"/>
    </row>
    <row r="1236" spans="9:9">
      <c r="I1236" s="155"/>
    </row>
    <row r="1237" spans="9:9">
      <c r="I1237" s="155"/>
    </row>
    <row r="1238" spans="9:9">
      <c r="I1238" s="155"/>
    </row>
    <row r="1239" spans="9:9">
      <c r="I1239" s="155"/>
    </row>
    <row r="1240" spans="9:9">
      <c r="I1240" s="155"/>
    </row>
    <row r="1241" spans="9:9">
      <c r="I1241" s="155"/>
    </row>
    <row r="1242" spans="9:9">
      <c r="I1242" s="155"/>
    </row>
    <row r="1243" spans="9:9">
      <c r="I1243" s="155"/>
    </row>
    <row r="1244" spans="9:9">
      <c r="I1244" s="155"/>
    </row>
    <row r="1245" spans="9:9">
      <c r="I1245" s="155"/>
    </row>
    <row r="1246" spans="9:9">
      <c r="I1246" s="155"/>
    </row>
    <row r="1247" spans="9:9">
      <c r="I1247" s="155"/>
    </row>
    <row r="1248" spans="9:9">
      <c r="I1248" s="155"/>
    </row>
    <row r="1249" spans="9:9">
      <c r="I1249" s="155"/>
    </row>
    <row r="1250" spans="9:9">
      <c r="I1250" s="155"/>
    </row>
    <row r="1251" spans="9:9">
      <c r="I1251" s="155"/>
    </row>
    <row r="1252" spans="9:9">
      <c r="I1252" s="155"/>
    </row>
    <row r="1253" spans="9:9">
      <c r="I1253" s="155"/>
    </row>
    <row r="1254" spans="9:9">
      <c r="I1254" s="155"/>
    </row>
    <row r="1255" spans="9:9">
      <c r="I1255" s="155"/>
    </row>
    <row r="1256" spans="9:9">
      <c r="I1256" s="155"/>
    </row>
    <row r="1257" spans="9:9">
      <c r="I1257" s="155"/>
    </row>
    <row r="1258" spans="9:9">
      <c r="I1258" s="155"/>
    </row>
    <row r="1259" spans="9:9">
      <c r="I1259" s="155"/>
    </row>
    <row r="1260" spans="9:9">
      <c r="I1260" s="155"/>
    </row>
    <row r="1261" spans="9:9">
      <c r="I1261" s="155"/>
    </row>
    <row r="1262" spans="9:9">
      <c r="I1262" s="155"/>
    </row>
    <row r="1263" spans="9:9">
      <c r="I1263" s="155"/>
    </row>
    <row r="1264" spans="9:9">
      <c r="I1264" s="155"/>
    </row>
    <row r="1265" spans="9:9">
      <c r="I1265" s="155"/>
    </row>
    <row r="1266" spans="9:9">
      <c r="I1266" s="155"/>
    </row>
    <row r="1267" spans="9:9">
      <c r="I1267" s="155"/>
    </row>
    <row r="1268" spans="9:9">
      <c r="I1268" s="155"/>
    </row>
    <row r="1269" spans="9:9">
      <c r="I1269" s="155"/>
    </row>
    <row r="1270" spans="9:9">
      <c r="I1270" s="155"/>
    </row>
    <row r="1271" spans="9:9">
      <c r="I1271" s="155"/>
    </row>
    <row r="1272" spans="9:9">
      <c r="I1272" s="155"/>
    </row>
    <row r="1273" spans="9:9">
      <c r="I1273" s="155"/>
    </row>
    <row r="1274" spans="9:9">
      <c r="I1274" s="155"/>
    </row>
    <row r="1275" spans="9:9">
      <c r="I1275" s="155"/>
    </row>
    <row r="1276" spans="9:9">
      <c r="I1276" s="155"/>
    </row>
    <row r="1277" spans="9:9">
      <c r="I1277" s="155"/>
    </row>
    <row r="1278" spans="9:9">
      <c r="I1278" s="155"/>
    </row>
    <row r="1279" spans="9:9">
      <c r="I1279" s="155"/>
    </row>
    <row r="1280" spans="9:9">
      <c r="I1280" s="155"/>
    </row>
    <row r="1281" spans="9:9">
      <c r="I1281" s="155"/>
    </row>
    <row r="1282" spans="9:9">
      <c r="I1282" s="155"/>
    </row>
    <row r="1283" spans="9:9">
      <c r="I1283" s="155"/>
    </row>
    <row r="1284" spans="9:9">
      <c r="I1284" s="155"/>
    </row>
    <row r="1285" spans="9:9">
      <c r="I1285" s="155"/>
    </row>
    <row r="1286" spans="9:9">
      <c r="I1286" s="155"/>
    </row>
    <row r="1287" spans="9:9">
      <c r="I1287" s="155"/>
    </row>
    <row r="1288" spans="9:9">
      <c r="I1288" s="155"/>
    </row>
    <row r="1289" spans="9:9">
      <c r="I1289" s="155"/>
    </row>
    <row r="1290" spans="9:9">
      <c r="I1290" s="155"/>
    </row>
    <row r="1291" spans="9:9">
      <c r="I1291" s="155"/>
    </row>
    <row r="1292" spans="9:9">
      <c r="I1292" s="155"/>
    </row>
    <row r="1293" spans="9:9">
      <c r="I1293" s="155"/>
    </row>
    <row r="1294" spans="9:9">
      <c r="I1294" s="155"/>
    </row>
    <row r="1295" spans="9:9">
      <c r="I1295" s="155"/>
    </row>
    <row r="1296" spans="9:9">
      <c r="I1296" s="155"/>
    </row>
    <row r="1297" spans="9:9">
      <c r="I1297" s="155"/>
    </row>
    <row r="1298" spans="9:9">
      <c r="I1298" s="155"/>
    </row>
    <row r="1299" spans="9:9">
      <c r="I1299" s="155"/>
    </row>
    <row r="1300" spans="9:9">
      <c r="I1300" s="155"/>
    </row>
    <row r="1301" spans="9:9">
      <c r="I1301" s="155"/>
    </row>
    <row r="1302" spans="9:9">
      <c r="I1302" s="155"/>
    </row>
    <row r="1303" spans="9:9">
      <c r="I1303" s="155"/>
    </row>
    <row r="1304" spans="9:9">
      <c r="I1304" s="155"/>
    </row>
    <row r="1305" spans="9:9">
      <c r="I1305" s="155"/>
    </row>
    <row r="1306" spans="9:9">
      <c r="I1306" s="155"/>
    </row>
    <row r="1307" spans="9:9">
      <c r="I1307" s="155"/>
    </row>
    <row r="1308" spans="9:9">
      <c r="I1308" s="155"/>
    </row>
    <row r="1309" spans="9:9">
      <c r="I1309" s="155"/>
    </row>
    <row r="1310" spans="9:9">
      <c r="I1310" s="155"/>
    </row>
    <row r="1311" spans="9:9">
      <c r="I1311" s="155"/>
    </row>
    <row r="1312" spans="9:9">
      <c r="I1312" s="155"/>
    </row>
    <row r="1313" spans="9:9">
      <c r="I1313" s="155"/>
    </row>
    <row r="1314" spans="9:9">
      <c r="I1314" s="155"/>
    </row>
    <row r="1315" spans="9:9">
      <c r="I1315" s="155"/>
    </row>
    <row r="1316" spans="9:9">
      <c r="I1316" s="155"/>
    </row>
    <row r="1317" spans="9:9">
      <c r="I1317" s="155"/>
    </row>
    <row r="1318" spans="9:9">
      <c r="I1318" s="155"/>
    </row>
    <row r="1319" spans="9:9">
      <c r="I1319" s="155"/>
    </row>
    <row r="1320" spans="9:9">
      <c r="I1320" s="155"/>
    </row>
    <row r="1321" spans="9:9">
      <c r="I1321" s="155"/>
    </row>
    <row r="1322" spans="9:9">
      <c r="I1322" s="155"/>
    </row>
    <row r="1323" spans="9:9">
      <c r="I1323" s="155"/>
    </row>
    <row r="1324" spans="9:9">
      <c r="I1324" s="155"/>
    </row>
    <row r="1325" spans="9:9">
      <c r="I1325" s="155"/>
    </row>
    <row r="1326" spans="9:9">
      <c r="I1326" s="155"/>
    </row>
    <row r="1327" spans="9:9">
      <c r="I1327" s="155"/>
    </row>
    <row r="1328" spans="9:9">
      <c r="I1328" s="155"/>
    </row>
    <row r="1329" spans="9:9">
      <c r="I1329" s="155"/>
    </row>
    <row r="1330" spans="9:9">
      <c r="I1330" s="155"/>
    </row>
    <row r="1331" spans="9:9">
      <c r="I1331" s="155"/>
    </row>
    <row r="1332" spans="9:9">
      <c r="I1332" s="155"/>
    </row>
    <row r="1333" spans="9:9">
      <c r="I1333" s="155"/>
    </row>
    <row r="1334" spans="9:9">
      <c r="I1334" s="155"/>
    </row>
    <row r="1335" spans="9:9">
      <c r="I1335" s="155"/>
    </row>
    <row r="1336" spans="9:9">
      <c r="I1336" s="155"/>
    </row>
    <row r="1337" spans="9:9">
      <c r="I1337" s="155"/>
    </row>
    <row r="1338" spans="9:9">
      <c r="I1338" s="155"/>
    </row>
    <row r="1339" spans="9:9">
      <c r="I1339" s="155"/>
    </row>
    <row r="1340" spans="9:9">
      <c r="I1340" s="155"/>
    </row>
    <row r="1341" spans="9:9">
      <c r="I1341" s="155"/>
    </row>
    <row r="1342" spans="9:9">
      <c r="I1342" s="155"/>
    </row>
    <row r="1343" spans="9:9">
      <c r="I1343" s="155"/>
    </row>
    <row r="1344" spans="9:9">
      <c r="I1344" s="155"/>
    </row>
    <row r="1345" spans="9:9">
      <c r="I1345" s="155"/>
    </row>
    <row r="1346" spans="9:9">
      <c r="I1346" s="155"/>
    </row>
    <row r="1347" spans="9:9">
      <c r="I1347" s="155"/>
    </row>
    <row r="1348" spans="9:9">
      <c r="I1348" s="155"/>
    </row>
    <row r="1349" spans="9:9">
      <c r="I1349" s="155"/>
    </row>
    <row r="1350" spans="9:9">
      <c r="I1350" s="155"/>
    </row>
    <row r="1351" spans="9:9">
      <c r="I1351" s="155"/>
    </row>
    <row r="1352" spans="9:9">
      <c r="I1352" s="155"/>
    </row>
    <row r="1353" spans="9:9">
      <c r="I1353" s="155"/>
    </row>
    <row r="1354" spans="9:9">
      <c r="I1354" s="155"/>
    </row>
    <row r="1355" spans="9:9">
      <c r="I1355" s="155"/>
    </row>
    <row r="1356" spans="9:9">
      <c r="I1356" s="155"/>
    </row>
    <row r="1357" spans="9:9">
      <c r="I1357" s="155"/>
    </row>
    <row r="1358" spans="9:9">
      <c r="I1358" s="155"/>
    </row>
    <row r="1359" spans="9:9">
      <c r="I1359" s="155"/>
    </row>
    <row r="1360" spans="9:9">
      <c r="I1360" s="155"/>
    </row>
    <row r="1361" spans="9:9">
      <c r="I1361" s="155"/>
    </row>
    <row r="1362" spans="9:9">
      <c r="I1362" s="155"/>
    </row>
    <row r="1363" spans="9:9">
      <c r="I1363" s="155"/>
    </row>
    <row r="1364" spans="9:9">
      <c r="I1364" s="155"/>
    </row>
    <row r="1365" spans="9:9">
      <c r="I1365" s="155"/>
    </row>
    <row r="1366" spans="9:9">
      <c r="I1366" s="155"/>
    </row>
    <row r="1367" spans="9:9">
      <c r="I1367" s="155"/>
    </row>
    <row r="1368" spans="9:9">
      <c r="I1368" s="155"/>
    </row>
    <row r="1369" spans="9:9">
      <c r="I1369" s="155"/>
    </row>
    <row r="1370" spans="9:9">
      <c r="I1370" s="155"/>
    </row>
    <row r="1371" spans="9:9">
      <c r="I1371" s="155"/>
    </row>
    <row r="1372" spans="9:9">
      <c r="I1372" s="155"/>
    </row>
    <row r="1373" spans="9:9">
      <c r="I1373" s="155"/>
    </row>
    <row r="1374" spans="9:9">
      <c r="I1374" s="155"/>
    </row>
    <row r="1375" spans="9:9">
      <c r="I1375" s="155"/>
    </row>
    <row r="1376" spans="9:9">
      <c r="I1376" s="155"/>
    </row>
    <row r="1377" spans="9:9">
      <c r="I1377" s="155"/>
    </row>
    <row r="1378" spans="9:9">
      <c r="I1378" s="155"/>
    </row>
    <row r="1379" spans="9:9">
      <c r="I1379" s="155"/>
    </row>
    <row r="1380" spans="9:9">
      <c r="I1380" s="155"/>
    </row>
    <row r="1381" spans="9:9">
      <c r="I1381" s="155"/>
    </row>
    <row r="1382" spans="9:9">
      <c r="I1382" s="155"/>
    </row>
    <row r="1383" spans="9:9">
      <c r="I1383" s="155"/>
    </row>
    <row r="1384" spans="9:9">
      <c r="I1384" s="155"/>
    </row>
    <row r="1385" spans="9:9">
      <c r="I1385" s="155"/>
    </row>
    <row r="1386" spans="9:9">
      <c r="I1386" s="155"/>
    </row>
    <row r="1387" spans="9:9">
      <c r="I1387" s="155"/>
    </row>
    <row r="1388" spans="9:9">
      <c r="I1388" s="155"/>
    </row>
    <row r="1389" spans="9:9">
      <c r="I1389" s="155"/>
    </row>
    <row r="1390" spans="9:9">
      <c r="I1390" s="155"/>
    </row>
    <row r="1391" spans="9:9">
      <c r="I1391" s="155"/>
    </row>
    <row r="1392" spans="9:9">
      <c r="I1392" s="155"/>
    </row>
    <row r="1393" spans="9:9">
      <c r="I1393" s="155"/>
    </row>
    <row r="1394" spans="9:9">
      <c r="I1394" s="155"/>
    </row>
    <row r="1395" spans="9:9">
      <c r="I1395" s="155"/>
    </row>
    <row r="1396" spans="9:9">
      <c r="I1396" s="155"/>
    </row>
    <row r="1397" spans="9:9">
      <c r="I1397" s="155"/>
    </row>
    <row r="1398" spans="9:9">
      <c r="I1398" s="155"/>
    </row>
    <row r="1399" spans="9:9">
      <c r="I1399" s="155"/>
    </row>
    <row r="1400" spans="9:9">
      <c r="I1400" s="155"/>
    </row>
    <row r="1401" spans="9:9">
      <c r="I1401" s="155"/>
    </row>
    <row r="1402" spans="9:9">
      <c r="I1402" s="155"/>
    </row>
    <row r="1403" spans="9:9">
      <c r="I1403" s="155"/>
    </row>
    <row r="1404" spans="9:9">
      <c r="I1404" s="155"/>
    </row>
    <row r="1405" spans="9:9">
      <c r="I1405" s="155"/>
    </row>
    <row r="1406" spans="9:9">
      <c r="I1406" s="155"/>
    </row>
    <row r="1407" spans="9:9">
      <c r="I1407" s="155"/>
    </row>
    <row r="1408" spans="9:9">
      <c r="I1408" s="155"/>
    </row>
    <row r="1409" spans="9:9">
      <c r="I1409" s="155"/>
    </row>
    <row r="1410" spans="9:9">
      <c r="I1410" s="155"/>
    </row>
    <row r="1411" spans="9:9">
      <c r="I1411" s="155"/>
    </row>
    <row r="1412" spans="9:9">
      <c r="I1412" s="155"/>
    </row>
    <row r="1413" spans="9:9">
      <c r="I1413" s="155"/>
    </row>
    <row r="1414" spans="9:9">
      <c r="I1414" s="155"/>
    </row>
    <row r="1415" spans="9:9">
      <c r="I1415" s="155"/>
    </row>
    <row r="1416" spans="9:9">
      <c r="I1416" s="155"/>
    </row>
    <row r="1417" spans="9:9">
      <c r="I1417" s="155"/>
    </row>
    <row r="1418" spans="9:9">
      <c r="I1418" s="155"/>
    </row>
    <row r="1419" spans="9:9">
      <c r="I1419" s="155"/>
    </row>
    <row r="1420" spans="9:9">
      <c r="I1420" s="155"/>
    </row>
    <row r="1421" spans="9:9">
      <c r="I1421" s="155"/>
    </row>
    <row r="1422" spans="9:9">
      <c r="I1422" s="155"/>
    </row>
    <row r="1423" spans="9:9">
      <c r="I1423" s="155"/>
    </row>
    <row r="1424" spans="9:9">
      <c r="I1424" s="155"/>
    </row>
    <row r="1425" spans="9:9">
      <c r="I1425" s="155"/>
    </row>
    <row r="1426" spans="9:9">
      <c r="I1426" s="155"/>
    </row>
    <row r="1427" spans="9:9">
      <c r="I1427" s="155"/>
    </row>
    <row r="1428" spans="9:9">
      <c r="I1428" s="155"/>
    </row>
    <row r="1429" spans="9:9">
      <c r="I1429" s="155"/>
    </row>
    <row r="1430" spans="9:9">
      <c r="I1430" s="155"/>
    </row>
    <row r="1431" spans="9:9">
      <c r="I1431" s="155"/>
    </row>
    <row r="1432" spans="9:9">
      <c r="I1432" s="155"/>
    </row>
    <row r="1433" spans="9:9">
      <c r="I1433" s="155"/>
    </row>
    <row r="1434" spans="9:9">
      <c r="I1434" s="155"/>
    </row>
    <row r="1435" spans="9:9">
      <c r="I1435" s="155"/>
    </row>
    <row r="1436" spans="9:9">
      <c r="I1436" s="155"/>
    </row>
    <row r="1437" spans="9:9">
      <c r="I1437" s="155"/>
    </row>
    <row r="1438" spans="9:9">
      <c r="I1438" s="155"/>
    </row>
    <row r="1439" spans="9:9">
      <c r="I1439" s="155"/>
    </row>
    <row r="1440" spans="9:9">
      <c r="I1440" s="155"/>
    </row>
    <row r="1441" spans="9:9">
      <c r="I1441" s="155"/>
    </row>
    <row r="1442" spans="9:9">
      <c r="I1442" s="155"/>
    </row>
    <row r="1443" spans="9:9">
      <c r="I1443" s="155"/>
    </row>
    <row r="1444" spans="9:9">
      <c r="I1444" s="155"/>
    </row>
    <row r="1445" spans="9:9">
      <c r="I1445" s="155"/>
    </row>
    <row r="1446" spans="9:9">
      <c r="I1446" s="155"/>
    </row>
    <row r="1447" spans="9:9">
      <c r="I1447" s="155"/>
    </row>
    <row r="1448" spans="9:9">
      <c r="I1448" s="155"/>
    </row>
    <row r="1449" spans="9:9">
      <c r="I1449" s="155"/>
    </row>
    <row r="1450" spans="9:9">
      <c r="I1450" s="155"/>
    </row>
    <row r="1451" spans="9:9">
      <c r="I1451" s="155"/>
    </row>
    <row r="1452" spans="9:9">
      <c r="I1452" s="155"/>
    </row>
    <row r="1453" spans="9:9">
      <c r="I1453" s="155"/>
    </row>
    <row r="1454" spans="9:9">
      <c r="I1454" s="155"/>
    </row>
    <row r="1455" spans="9:9">
      <c r="I1455" s="155"/>
    </row>
    <row r="1456" spans="9:9">
      <c r="I1456" s="155"/>
    </row>
    <row r="1457" spans="9:9">
      <c r="I1457" s="155"/>
    </row>
    <row r="1458" spans="9:9">
      <c r="I1458" s="155"/>
    </row>
    <row r="1459" spans="9:9">
      <c r="I1459" s="155"/>
    </row>
    <row r="1460" spans="9:9">
      <c r="I1460" s="155"/>
    </row>
    <row r="1461" spans="9:9">
      <c r="I1461" s="155"/>
    </row>
    <row r="1462" spans="9:9">
      <c r="I1462" s="155"/>
    </row>
    <row r="1463" spans="9:9">
      <c r="I1463" s="155"/>
    </row>
    <row r="1464" spans="9:9">
      <c r="I1464" s="155"/>
    </row>
    <row r="1465" spans="9:9">
      <c r="I1465" s="155"/>
    </row>
    <row r="1466" spans="9:9">
      <c r="I1466" s="155"/>
    </row>
    <row r="1467" spans="9:9">
      <c r="I1467" s="155"/>
    </row>
    <row r="1468" spans="9:9">
      <c r="I1468" s="155"/>
    </row>
    <row r="1469" spans="9:9">
      <c r="I1469" s="155"/>
    </row>
    <row r="1470" spans="9:9">
      <c r="I1470" s="155"/>
    </row>
    <row r="1471" spans="9:9">
      <c r="I1471" s="155"/>
    </row>
    <row r="1472" spans="9:9">
      <c r="I1472" s="155"/>
    </row>
    <row r="1473" spans="9:9">
      <c r="I1473" s="155"/>
    </row>
    <row r="1474" spans="9:9">
      <c r="I1474" s="155"/>
    </row>
    <row r="1475" spans="9:9">
      <c r="I1475" s="155"/>
    </row>
    <row r="1476" spans="9:9">
      <c r="I1476" s="155"/>
    </row>
    <row r="1477" spans="9:9">
      <c r="I1477" s="155"/>
    </row>
    <row r="1478" spans="9:9">
      <c r="I1478" s="155"/>
    </row>
    <row r="1479" spans="9:9">
      <c r="I1479" s="155"/>
    </row>
    <row r="1480" spans="9:9">
      <c r="I1480" s="155"/>
    </row>
    <row r="1481" spans="9:9">
      <c r="I1481" s="155"/>
    </row>
    <row r="1482" spans="9:9">
      <c r="I1482" s="155"/>
    </row>
    <row r="1483" spans="9:9">
      <c r="I1483" s="155"/>
    </row>
    <row r="1484" spans="9:9">
      <c r="I1484" s="155"/>
    </row>
    <row r="1485" spans="9:9">
      <c r="I1485" s="155"/>
    </row>
    <row r="1486" spans="9:9">
      <c r="I1486" s="155"/>
    </row>
    <row r="1487" spans="9:9">
      <c r="I1487" s="155"/>
    </row>
    <row r="1488" spans="9:9">
      <c r="I1488" s="155"/>
    </row>
    <row r="1489" spans="9:9">
      <c r="I1489" s="155"/>
    </row>
    <row r="1490" spans="9:9">
      <c r="I1490" s="155"/>
    </row>
    <row r="1491" spans="9:9">
      <c r="I1491" s="155"/>
    </row>
    <row r="1492" spans="9:9">
      <c r="I1492" s="155"/>
    </row>
    <row r="1493" spans="9:9">
      <c r="I1493" s="155"/>
    </row>
    <row r="1494" spans="9:9">
      <c r="I1494" s="155"/>
    </row>
    <row r="1495" spans="9:9">
      <c r="I1495" s="155"/>
    </row>
    <row r="1496" spans="9:9">
      <c r="I1496" s="155"/>
    </row>
    <row r="1497" spans="9:9">
      <c r="I1497" s="155"/>
    </row>
    <row r="1498" spans="9:9">
      <c r="I1498" s="155"/>
    </row>
    <row r="1499" spans="9:9">
      <c r="I1499" s="155"/>
    </row>
    <row r="1500" spans="9:9">
      <c r="I1500" s="155"/>
    </row>
    <row r="1501" spans="9:9">
      <c r="I1501" s="155"/>
    </row>
    <row r="1502" spans="9:9">
      <c r="I1502" s="155"/>
    </row>
    <row r="1503" spans="9:9">
      <c r="I1503" s="155"/>
    </row>
    <row r="1504" spans="9:9">
      <c r="I1504" s="155"/>
    </row>
    <row r="1505" spans="9:9">
      <c r="I1505" s="155"/>
    </row>
    <row r="1506" spans="9:9">
      <c r="I1506" s="155"/>
    </row>
    <row r="1507" spans="9:9">
      <c r="I1507" s="155"/>
    </row>
    <row r="1508" spans="9:9">
      <c r="I1508" s="155"/>
    </row>
    <row r="1509" spans="9:9">
      <c r="I1509" s="155"/>
    </row>
    <row r="1510" spans="9:9">
      <c r="I1510" s="155"/>
    </row>
    <row r="1511" spans="9:9">
      <c r="I1511" s="155"/>
    </row>
    <row r="1512" spans="9:9">
      <c r="I1512" s="155"/>
    </row>
    <row r="1513" spans="9:9">
      <c r="I1513" s="155"/>
    </row>
    <row r="1514" spans="9:9">
      <c r="I1514" s="155"/>
    </row>
    <row r="1515" spans="9:9">
      <c r="I1515" s="155"/>
    </row>
    <row r="1516" spans="9:9">
      <c r="I1516" s="155"/>
    </row>
    <row r="1517" spans="9:9">
      <c r="I1517" s="155"/>
    </row>
    <row r="1518" spans="9:9">
      <c r="I1518" s="155"/>
    </row>
    <row r="1519" spans="9:9">
      <c r="I1519" s="155"/>
    </row>
    <row r="1520" spans="9:9">
      <c r="I1520" s="155"/>
    </row>
    <row r="1521" spans="9:9">
      <c r="I1521" s="155"/>
    </row>
    <row r="1522" spans="9:9">
      <c r="I1522" s="155"/>
    </row>
    <row r="1523" spans="9:9">
      <c r="I1523" s="155"/>
    </row>
    <row r="1524" spans="9:9">
      <c r="I1524" s="155"/>
    </row>
    <row r="1525" spans="9:9">
      <c r="I1525" s="155"/>
    </row>
    <row r="1526" spans="9:9">
      <c r="I1526" s="155"/>
    </row>
    <row r="1527" spans="9:9">
      <c r="I1527" s="155"/>
    </row>
    <row r="1528" spans="9:9">
      <c r="I1528" s="155"/>
    </row>
    <row r="1529" spans="9:9">
      <c r="I1529" s="155"/>
    </row>
    <row r="1530" spans="9:9">
      <c r="I1530" s="155"/>
    </row>
    <row r="1531" spans="9:9">
      <c r="I1531" s="155"/>
    </row>
    <row r="1532" spans="9:9">
      <c r="I1532" s="155"/>
    </row>
    <row r="1533" spans="9:9">
      <c r="I1533" s="155"/>
    </row>
    <row r="1534" spans="9:9">
      <c r="I1534" s="155"/>
    </row>
    <row r="1535" spans="9:9">
      <c r="I1535" s="155"/>
    </row>
    <row r="1536" spans="9:9">
      <c r="I1536" s="155"/>
    </row>
    <row r="1537" spans="9:9">
      <c r="I1537" s="155"/>
    </row>
    <row r="1538" spans="9:9">
      <c r="I1538" s="155"/>
    </row>
    <row r="1539" spans="9:9">
      <c r="I1539" s="155"/>
    </row>
    <row r="1540" spans="9:9">
      <c r="I1540" s="155"/>
    </row>
    <row r="1541" spans="9:9">
      <c r="I1541" s="155"/>
    </row>
    <row r="1542" spans="9:9">
      <c r="I1542" s="155"/>
    </row>
    <row r="1543" spans="9:9">
      <c r="I1543" s="155"/>
    </row>
    <row r="1544" spans="9:9">
      <c r="I1544" s="155"/>
    </row>
    <row r="1545" spans="9:9">
      <c r="I1545" s="155"/>
    </row>
    <row r="1546" spans="9:9">
      <c r="I1546" s="155"/>
    </row>
    <row r="1547" spans="9:9">
      <c r="I1547" s="155"/>
    </row>
    <row r="1548" spans="9:9">
      <c r="I1548" s="155"/>
    </row>
    <row r="1549" spans="9:9">
      <c r="I1549" s="155"/>
    </row>
    <row r="1550" spans="9:9">
      <c r="I1550" s="155"/>
    </row>
    <row r="1551" spans="9:9">
      <c r="I1551" s="155"/>
    </row>
    <row r="1552" spans="9:9">
      <c r="I1552" s="155"/>
    </row>
    <row r="1553" spans="9:9">
      <c r="I1553" s="155"/>
    </row>
    <row r="1554" spans="9:9">
      <c r="I1554" s="155"/>
    </row>
    <row r="1555" spans="9:9">
      <c r="I1555" s="155"/>
    </row>
    <row r="1556" spans="9:9">
      <c r="I1556" s="155"/>
    </row>
    <row r="1557" spans="9:9">
      <c r="I1557" s="155"/>
    </row>
    <row r="1558" spans="9:9">
      <c r="I1558" s="155"/>
    </row>
    <row r="1559" spans="9:9">
      <c r="I1559" s="155"/>
    </row>
    <row r="1560" spans="9:9">
      <c r="I1560" s="155"/>
    </row>
    <row r="1561" spans="9:9">
      <c r="I1561" s="155"/>
    </row>
    <row r="1562" spans="9:9">
      <c r="I1562" s="155"/>
    </row>
    <row r="1563" spans="9:9">
      <c r="I1563" s="155"/>
    </row>
    <row r="1564" spans="9:9">
      <c r="I1564" s="155"/>
    </row>
    <row r="1565" spans="9:9">
      <c r="I1565" s="155"/>
    </row>
    <row r="1566" spans="9:9">
      <c r="I1566" s="155"/>
    </row>
    <row r="1567" spans="9:9">
      <c r="I1567" s="155"/>
    </row>
    <row r="1568" spans="9:9">
      <c r="I1568" s="155"/>
    </row>
    <row r="1569" spans="9:9">
      <c r="I1569" s="155"/>
    </row>
    <row r="1570" spans="9:9">
      <c r="I1570" s="155"/>
    </row>
    <row r="1571" spans="9:9">
      <c r="I1571" s="155"/>
    </row>
    <row r="1572" spans="9:9">
      <c r="I1572" s="155"/>
    </row>
    <row r="1573" spans="9:9">
      <c r="I1573" s="155"/>
    </row>
    <row r="1574" spans="9:9">
      <c r="I1574" s="155"/>
    </row>
    <row r="1575" spans="9:9">
      <c r="I1575" s="155"/>
    </row>
    <row r="1576" spans="9:9">
      <c r="I1576" s="155"/>
    </row>
    <row r="1577" spans="9:9">
      <c r="I1577" s="155"/>
    </row>
    <row r="1578" spans="9:9">
      <c r="I1578" s="155"/>
    </row>
    <row r="1579" spans="9:9">
      <c r="I1579" s="155"/>
    </row>
    <row r="1580" spans="9:9">
      <c r="I1580" s="155"/>
    </row>
    <row r="1581" spans="9:9">
      <c r="I1581" s="155"/>
    </row>
    <row r="1582" spans="9:9">
      <c r="I1582" s="155"/>
    </row>
    <row r="1583" spans="9:9">
      <c r="I1583" s="155"/>
    </row>
    <row r="1584" spans="9:9">
      <c r="I1584" s="155"/>
    </row>
    <row r="1585" spans="9:9">
      <c r="I1585" s="155"/>
    </row>
    <row r="1586" spans="9:9">
      <c r="I1586" s="155"/>
    </row>
    <row r="1587" spans="9:9">
      <c r="I1587" s="155"/>
    </row>
    <row r="1588" spans="9:9">
      <c r="I1588" s="155"/>
    </row>
    <row r="1589" spans="9:9">
      <c r="I1589" s="155"/>
    </row>
    <row r="1590" spans="9:9">
      <c r="I1590" s="155"/>
    </row>
    <row r="1591" spans="9:9">
      <c r="I1591" s="155"/>
    </row>
    <row r="1592" spans="9:9">
      <c r="I1592" s="155"/>
    </row>
    <row r="1593" spans="9:9">
      <c r="I1593" s="155"/>
    </row>
    <row r="1594" spans="9:9">
      <c r="I1594" s="155"/>
    </row>
    <row r="1595" spans="9:9">
      <c r="I1595" s="155"/>
    </row>
    <row r="1596" spans="9:9">
      <c r="I1596" s="155"/>
    </row>
    <row r="1597" spans="9:9">
      <c r="I1597" s="155"/>
    </row>
    <row r="1598" spans="9:9">
      <c r="I1598" s="155"/>
    </row>
    <row r="1599" spans="9:9">
      <c r="I1599" s="155"/>
    </row>
    <row r="1600" spans="9:9">
      <c r="I1600" s="155"/>
    </row>
    <row r="1601" spans="9:9">
      <c r="I1601" s="155"/>
    </row>
    <row r="1602" spans="9:9">
      <c r="I1602" s="155"/>
    </row>
    <row r="1603" spans="9:9">
      <c r="I1603" s="155"/>
    </row>
    <row r="1604" spans="9:9">
      <c r="I1604" s="155"/>
    </row>
    <row r="1605" spans="9:9">
      <c r="I1605" s="155"/>
    </row>
    <row r="1606" spans="9:9">
      <c r="I1606" s="155"/>
    </row>
    <row r="1607" spans="9:9">
      <c r="I1607" s="155"/>
    </row>
    <row r="1608" spans="9:9">
      <c r="I1608" s="155"/>
    </row>
    <row r="1609" spans="9:9">
      <c r="I1609" s="155"/>
    </row>
    <row r="1610" spans="9:9">
      <c r="I1610" s="155"/>
    </row>
    <row r="1611" spans="9:9">
      <c r="I1611" s="155"/>
    </row>
    <row r="1612" spans="9:9">
      <c r="I1612" s="155"/>
    </row>
    <row r="1613" spans="9:9">
      <c r="I1613" s="155"/>
    </row>
    <row r="1614" spans="9:9">
      <c r="I1614" s="155"/>
    </row>
    <row r="1615" spans="9:9">
      <c r="I1615" s="155"/>
    </row>
    <row r="1616" spans="9:9">
      <c r="I1616" s="155"/>
    </row>
    <row r="1617" spans="9:9">
      <c r="I1617" s="155"/>
    </row>
    <row r="1618" spans="9:9">
      <c r="I1618" s="155"/>
    </row>
    <row r="1619" spans="9:9">
      <c r="I1619" s="155"/>
    </row>
    <row r="1620" spans="9:9">
      <c r="I1620" s="155"/>
    </row>
    <row r="1621" spans="9:9">
      <c r="I1621" s="155"/>
    </row>
    <row r="1622" spans="9:9">
      <c r="I1622" s="155"/>
    </row>
    <row r="1623" spans="9:9">
      <c r="I1623" s="155"/>
    </row>
    <row r="1624" spans="9:9">
      <c r="I1624" s="155"/>
    </row>
    <row r="1625" spans="9:9">
      <c r="I1625" s="155"/>
    </row>
    <row r="1626" spans="9:9">
      <c r="I1626" s="155"/>
    </row>
    <row r="1627" spans="9:9">
      <c r="I1627" s="155"/>
    </row>
    <row r="1628" spans="9:9">
      <c r="I1628" s="155"/>
    </row>
    <row r="1629" spans="9:9">
      <c r="I1629" s="155"/>
    </row>
    <row r="1630" spans="9:9">
      <c r="I1630" s="155"/>
    </row>
    <row r="1631" spans="9:9">
      <c r="I1631" s="155"/>
    </row>
    <row r="1632" spans="9:9">
      <c r="I1632" s="155"/>
    </row>
    <row r="1633" spans="9:9">
      <c r="I1633" s="155"/>
    </row>
    <row r="1634" spans="9:9">
      <c r="I1634" s="155"/>
    </row>
    <row r="1635" spans="9:9">
      <c r="I1635" s="155"/>
    </row>
    <row r="1636" spans="9:9">
      <c r="I1636" s="155"/>
    </row>
    <row r="1637" spans="9:9">
      <c r="I1637" s="155"/>
    </row>
    <row r="1638" spans="9:9">
      <c r="I1638" s="155"/>
    </row>
    <row r="1639" spans="9:9">
      <c r="I1639" s="155"/>
    </row>
    <row r="1640" spans="9:9">
      <c r="I1640" s="155"/>
    </row>
    <row r="1641" spans="9:9">
      <c r="I1641" s="155"/>
    </row>
    <row r="1642" spans="9:9">
      <c r="I1642" s="155"/>
    </row>
    <row r="1643" spans="9:9">
      <c r="I1643" s="155"/>
    </row>
    <row r="1644" spans="9:9">
      <c r="I1644" s="155"/>
    </row>
    <row r="1645" spans="9:9">
      <c r="I1645" s="155"/>
    </row>
    <row r="1646" spans="9:9">
      <c r="I1646" s="155"/>
    </row>
    <row r="1647" spans="9:9">
      <c r="I1647" s="155"/>
    </row>
    <row r="1648" spans="9:9">
      <c r="I1648" s="155"/>
    </row>
    <row r="1649" spans="9:9">
      <c r="I1649" s="155"/>
    </row>
    <row r="1650" spans="9:9">
      <c r="I1650" s="155"/>
    </row>
    <row r="1651" spans="9:9">
      <c r="I1651" s="155"/>
    </row>
    <row r="1652" spans="9:9">
      <c r="I1652" s="155"/>
    </row>
    <row r="1653" spans="9:9">
      <c r="I1653" s="155"/>
    </row>
    <row r="1654" spans="9:9">
      <c r="I1654" s="155"/>
    </row>
    <row r="1655" spans="9:9">
      <c r="I1655" s="155"/>
    </row>
    <row r="1656" spans="9:9">
      <c r="I1656" s="155"/>
    </row>
    <row r="1657" spans="9:9">
      <c r="I1657" s="155"/>
    </row>
    <row r="1658" spans="9:9">
      <c r="I1658" s="155"/>
    </row>
    <row r="1659" spans="9:9">
      <c r="I1659" s="155"/>
    </row>
    <row r="1660" spans="9:9">
      <c r="I1660" s="155"/>
    </row>
    <row r="1661" spans="9:9">
      <c r="I1661" s="155"/>
    </row>
    <row r="1662" spans="9:9">
      <c r="I1662" s="155"/>
    </row>
    <row r="1663" spans="9:9">
      <c r="I1663" s="155"/>
    </row>
    <row r="1664" spans="9:9">
      <c r="I1664" s="155"/>
    </row>
    <row r="1665" spans="9:9">
      <c r="I1665" s="155"/>
    </row>
    <row r="1666" spans="9:9">
      <c r="I1666" s="155"/>
    </row>
    <row r="1667" spans="9:9">
      <c r="I1667" s="155"/>
    </row>
    <row r="1668" spans="9:9">
      <c r="I1668" s="155"/>
    </row>
    <row r="1669" spans="9:9">
      <c r="I1669" s="155"/>
    </row>
    <row r="1670" spans="9:9">
      <c r="I1670" s="155"/>
    </row>
    <row r="1671" spans="9:9">
      <c r="I1671" s="155"/>
    </row>
    <row r="1672" spans="9:9">
      <c r="I1672" s="155"/>
    </row>
    <row r="1673" spans="9:9">
      <c r="I1673" s="155"/>
    </row>
    <row r="1674" spans="9:9">
      <c r="I1674" s="155"/>
    </row>
    <row r="1675" spans="9:9">
      <c r="I1675" s="155"/>
    </row>
    <row r="1676" spans="9:9">
      <c r="I1676" s="155"/>
    </row>
    <row r="1677" spans="9:9">
      <c r="I1677" s="155"/>
    </row>
    <row r="1678" spans="9:9">
      <c r="I1678" s="155"/>
    </row>
    <row r="1679" spans="9:9">
      <c r="I1679" s="155"/>
    </row>
    <row r="1680" spans="9:9">
      <c r="I1680" s="155"/>
    </row>
    <row r="1681" spans="9:9">
      <c r="I1681" s="155"/>
    </row>
    <row r="1682" spans="9:9">
      <c r="I1682" s="155"/>
    </row>
    <row r="1683" spans="9:9">
      <c r="I1683" s="155"/>
    </row>
    <row r="1684" spans="9:9">
      <c r="I1684" s="155"/>
    </row>
    <row r="1685" spans="9:9">
      <c r="I1685" s="155"/>
    </row>
    <row r="1686" spans="9:9">
      <c r="I1686" s="155"/>
    </row>
    <row r="1687" spans="9:9">
      <c r="I1687" s="155"/>
    </row>
    <row r="1688" spans="9:9">
      <c r="I1688" s="155"/>
    </row>
    <row r="1689" spans="9:9">
      <c r="I1689" s="155"/>
    </row>
    <row r="1690" spans="9:9">
      <c r="I1690" s="155"/>
    </row>
    <row r="1691" spans="9:9">
      <c r="I1691" s="155"/>
    </row>
    <row r="1692" spans="9:9">
      <c r="I1692" s="155"/>
    </row>
    <row r="1693" spans="9:9">
      <c r="I1693" s="155"/>
    </row>
    <row r="1694" spans="9:9">
      <c r="I1694" s="155"/>
    </row>
    <row r="1695" spans="9:9">
      <c r="I1695" s="155"/>
    </row>
    <row r="1696" spans="9:9">
      <c r="I1696" s="155"/>
    </row>
    <row r="1697" spans="9:9">
      <c r="I1697" s="155"/>
    </row>
    <row r="1698" spans="9:9">
      <c r="I1698" s="155"/>
    </row>
    <row r="1699" spans="9:9">
      <c r="I1699" s="155"/>
    </row>
    <row r="1700" spans="9:9">
      <c r="I1700" s="155"/>
    </row>
    <row r="1701" spans="9:9">
      <c r="I1701" s="155"/>
    </row>
    <row r="1702" spans="9:9">
      <c r="I1702" s="155"/>
    </row>
    <row r="1703" spans="9:9">
      <c r="I1703" s="155"/>
    </row>
    <row r="1704" spans="9:9">
      <c r="I1704" s="155"/>
    </row>
    <row r="1705" spans="9:9">
      <c r="I1705" s="155"/>
    </row>
    <row r="1706" spans="9:9">
      <c r="I1706" s="155"/>
    </row>
    <row r="1707" spans="9:9">
      <c r="I1707" s="155"/>
    </row>
    <row r="1708" spans="9:9">
      <c r="I1708" s="155"/>
    </row>
    <row r="1709" spans="9:9">
      <c r="I1709" s="155"/>
    </row>
    <row r="1710" spans="9:9">
      <c r="I1710" s="155"/>
    </row>
    <row r="1711" spans="9:9">
      <c r="I1711" s="155"/>
    </row>
    <row r="1712" spans="9:9">
      <c r="I1712" s="155"/>
    </row>
    <row r="1713" spans="9:9">
      <c r="I1713" s="155"/>
    </row>
    <row r="1714" spans="9:9">
      <c r="I1714" s="155"/>
    </row>
    <row r="1715" spans="9:9">
      <c r="I1715" s="155"/>
    </row>
    <row r="1716" spans="9:9">
      <c r="I1716" s="155"/>
    </row>
    <row r="1717" spans="9:9">
      <c r="I1717" s="155"/>
    </row>
    <row r="1718" spans="9:9">
      <c r="I1718" s="155"/>
    </row>
    <row r="1719" spans="9:9">
      <c r="I1719" s="155"/>
    </row>
    <row r="1720" spans="9:9">
      <c r="I1720" s="155"/>
    </row>
    <row r="1721" spans="9:9">
      <c r="I1721" s="155"/>
    </row>
    <row r="1722" spans="9:9">
      <c r="I1722" s="155"/>
    </row>
    <row r="1723" spans="9:9">
      <c r="I1723" s="155"/>
    </row>
    <row r="1724" spans="9:9">
      <c r="I1724" s="155"/>
    </row>
    <row r="1725" spans="9:9">
      <c r="I1725" s="155"/>
    </row>
    <row r="1726" spans="9:9">
      <c r="I1726" s="155"/>
    </row>
    <row r="1727" spans="9:9">
      <c r="I1727" s="155"/>
    </row>
    <row r="1728" spans="9:9">
      <c r="I1728" s="155"/>
    </row>
    <row r="1729" spans="9:9">
      <c r="I1729" s="155"/>
    </row>
    <row r="1730" spans="9:9">
      <c r="I1730" s="155"/>
    </row>
    <row r="1731" spans="9:9">
      <c r="I1731" s="155"/>
    </row>
    <row r="1732" spans="9:9">
      <c r="I1732" s="155"/>
    </row>
    <row r="1733" spans="9:9">
      <c r="I1733" s="155"/>
    </row>
    <row r="1734" spans="9:9">
      <c r="I1734" s="155"/>
    </row>
    <row r="1735" spans="9:9">
      <c r="I1735" s="155"/>
    </row>
    <row r="1736" spans="9:9">
      <c r="I1736" s="155"/>
    </row>
    <row r="1737" spans="9:9">
      <c r="I1737" s="155"/>
    </row>
    <row r="1738" spans="9:9">
      <c r="I1738" s="155"/>
    </row>
    <row r="1739" spans="9:9">
      <c r="I1739" s="155"/>
    </row>
    <row r="1740" spans="9:9">
      <c r="I1740" s="155"/>
    </row>
    <row r="1741" spans="9:9">
      <c r="I1741" s="155"/>
    </row>
    <row r="1742" spans="9:9">
      <c r="I1742" s="155"/>
    </row>
    <row r="1743" spans="9:9">
      <c r="I1743" s="155"/>
    </row>
    <row r="1744" spans="9:9">
      <c r="I1744" s="155"/>
    </row>
    <row r="1745" spans="9:9">
      <c r="I1745" s="155"/>
    </row>
    <row r="1746" spans="9:9">
      <c r="I1746" s="155"/>
    </row>
    <row r="1747" spans="9:9">
      <c r="I1747" s="155"/>
    </row>
    <row r="1748" spans="9:9">
      <c r="I1748" s="155"/>
    </row>
    <row r="1749" spans="9:9">
      <c r="I1749" s="155"/>
    </row>
    <row r="1750" spans="9:9">
      <c r="I1750" s="155"/>
    </row>
    <row r="1751" spans="9:9">
      <c r="I1751" s="155"/>
    </row>
    <row r="1752" spans="9:9">
      <c r="I1752" s="155"/>
    </row>
    <row r="1753" spans="9:9">
      <c r="I1753" s="155"/>
    </row>
    <row r="1754" spans="9:9">
      <c r="I1754" s="155"/>
    </row>
    <row r="1755" spans="9:9">
      <c r="I1755" s="155"/>
    </row>
    <row r="1756" spans="9:9">
      <c r="I1756" s="155"/>
    </row>
    <row r="1757" spans="9:9">
      <c r="I1757" s="155"/>
    </row>
    <row r="1758" spans="9:9">
      <c r="I1758" s="155"/>
    </row>
    <row r="1759" spans="9:9">
      <c r="I1759" s="155"/>
    </row>
    <row r="1760" spans="9:9">
      <c r="I1760" s="155"/>
    </row>
    <row r="1761" spans="9:9">
      <c r="I1761" s="155"/>
    </row>
    <row r="1762" spans="9:9">
      <c r="I1762" s="155"/>
    </row>
    <row r="1763" spans="9:9">
      <c r="I1763" s="155"/>
    </row>
    <row r="1764" spans="9:9">
      <c r="I1764" s="155"/>
    </row>
    <row r="1765" spans="9:9">
      <c r="I1765" s="155"/>
    </row>
    <row r="1766" spans="9:9">
      <c r="I1766" s="155"/>
    </row>
    <row r="1767" spans="9:9">
      <c r="I1767" s="155"/>
    </row>
    <row r="1768" spans="9:9">
      <c r="I1768" s="155"/>
    </row>
    <row r="1769" spans="9:9">
      <c r="I1769" s="155"/>
    </row>
    <row r="1770" spans="9:9">
      <c r="I1770" s="155"/>
    </row>
    <row r="1771" spans="9:9">
      <c r="I1771" s="155"/>
    </row>
    <row r="1772" spans="9:9">
      <c r="I1772" s="155"/>
    </row>
    <row r="1773" spans="9:9">
      <c r="I1773" s="155"/>
    </row>
    <row r="1774" spans="9:9">
      <c r="I1774" s="155"/>
    </row>
    <row r="1775" spans="9:9">
      <c r="I1775" s="155"/>
    </row>
    <row r="1776" spans="9:9">
      <c r="I1776" s="155"/>
    </row>
    <row r="1777" spans="9:9">
      <c r="I1777" s="155"/>
    </row>
    <row r="1778" spans="9:9">
      <c r="I1778" s="155"/>
    </row>
    <row r="1779" spans="9:9">
      <c r="I1779" s="155"/>
    </row>
    <row r="1780" spans="9:9">
      <c r="I1780" s="155"/>
    </row>
    <row r="1781" spans="9:9">
      <c r="I1781" s="155"/>
    </row>
    <row r="1782" spans="9:9">
      <c r="I1782" s="155"/>
    </row>
    <row r="1783" spans="9:9">
      <c r="I1783" s="155"/>
    </row>
    <row r="1784" spans="9:9">
      <c r="I1784" s="155"/>
    </row>
    <row r="1785" spans="9:9">
      <c r="I1785" s="155"/>
    </row>
    <row r="1786" spans="9:9">
      <c r="I1786" s="155"/>
    </row>
    <row r="1787" spans="9:9">
      <c r="I1787" s="155"/>
    </row>
    <row r="1788" spans="9:9">
      <c r="I1788" s="155"/>
    </row>
    <row r="1789" spans="9:9">
      <c r="I1789" s="155"/>
    </row>
    <row r="1790" spans="9:9">
      <c r="I1790" s="155"/>
    </row>
    <row r="1791" spans="9:9">
      <c r="I1791" s="155"/>
    </row>
    <row r="1792" spans="9:9">
      <c r="I1792" s="155"/>
    </row>
    <row r="1793" spans="9:9">
      <c r="I1793" s="155"/>
    </row>
    <row r="1794" spans="9:9">
      <c r="I1794" s="155"/>
    </row>
    <row r="1795" spans="9:9">
      <c r="I1795" s="155"/>
    </row>
    <row r="1796" spans="9:9">
      <c r="I1796" s="155"/>
    </row>
    <row r="1797" spans="9:9">
      <c r="I1797" s="155"/>
    </row>
    <row r="1798" spans="9:9">
      <c r="I1798" s="155"/>
    </row>
    <row r="1799" spans="9:9">
      <c r="I1799" s="155"/>
    </row>
    <row r="1800" spans="9:9">
      <c r="I1800" s="155"/>
    </row>
    <row r="1801" spans="9:9">
      <c r="I1801" s="155"/>
    </row>
    <row r="1802" spans="9:9">
      <c r="I1802" s="155"/>
    </row>
    <row r="1803" spans="9:9">
      <c r="I1803" s="155"/>
    </row>
    <row r="1804" spans="9:9">
      <c r="I1804" s="155"/>
    </row>
    <row r="1805" spans="9:9">
      <c r="I1805" s="155"/>
    </row>
    <row r="1806" spans="9:9">
      <c r="I1806" s="155"/>
    </row>
    <row r="1807" spans="9:9">
      <c r="I1807" s="155"/>
    </row>
    <row r="1808" spans="9:9">
      <c r="I1808" s="155"/>
    </row>
    <row r="1809" spans="9:9">
      <c r="I1809" s="155"/>
    </row>
    <row r="1810" spans="9:9">
      <c r="I1810" s="155"/>
    </row>
    <row r="1811" spans="9:9">
      <c r="I1811" s="155"/>
    </row>
    <row r="1812" spans="9:9">
      <c r="I1812" s="155"/>
    </row>
    <row r="1813" spans="9:9">
      <c r="I1813" s="155"/>
    </row>
    <row r="1814" spans="9:9">
      <c r="I1814" s="155"/>
    </row>
    <row r="1815" spans="9:9">
      <c r="I1815" s="155"/>
    </row>
    <row r="1816" spans="9:9">
      <c r="I1816" s="155"/>
    </row>
    <row r="1817" spans="9:9">
      <c r="I1817" s="155"/>
    </row>
    <row r="1818" spans="9:9">
      <c r="I1818" s="155"/>
    </row>
    <row r="1819" spans="9:9">
      <c r="I1819" s="155"/>
    </row>
    <row r="1820" spans="9:9">
      <c r="I1820" s="155"/>
    </row>
    <row r="1821" spans="9:9">
      <c r="I1821" s="155"/>
    </row>
    <row r="1822" spans="9:9">
      <c r="I1822" s="155"/>
    </row>
    <row r="1823" spans="9:9">
      <c r="I1823" s="155"/>
    </row>
    <row r="1824" spans="9:9">
      <c r="I1824" s="155"/>
    </row>
    <row r="1825" spans="9:9">
      <c r="I1825" s="155"/>
    </row>
    <row r="1826" spans="9:9">
      <c r="I1826" s="155"/>
    </row>
    <row r="1827" spans="9:9">
      <c r="I1827" s="155"/>
    </row>
    <row r="1828" spans="9:9">
      <c r="I1828" s="155"/>
    </row>
    <row r="1829" spans="9:9">
      <c r="I1829" s="155"/>
    </row>
    <row r="1830" spans="9:9">
      <c r="I1830" s="155"/>
    </row>
    <row r="1831" spans="9:9">
      <c r="I1831" s="155"/>
    </row>
    <row r="1832" spans="9:9">
      <c r="I1832" s="155"/>
    </row>
    <row r="1833" spans="9:9">
      <c r="I1833" s="155"/>
    </row>
    <row r="1834" spans="9:9">
      <c r="I1834" s="155"/>
    </row>
    <row r="1835" spans="9:9">
      <c r="I1835" s="155"/>
    </row>
    <row r="1836" spans="9:9">
      <c r="I1836" s="155"/>
    </row>
    <row r="1837" spans="9:9">
      <c r="I1837" s="155"/>
    </row>
    <row r="1838" spans="9:9">
      <c r="I1838" s="155"/>
    </row>
    <row r="1839" spans="9:9">
      <c r="I1839" s="155"/>
    </row>
    <row r="1840" spans="9:9">
      <c r="I1840" s="155"/>
    </row>
    <row r="1841" spans="9:9">
      <c r="I1841" s="155"/>
    </row>
    <row r="1842" spans="9:9">
      <c r="I1842" s="155"/>
    </row>
    <row r="1843" spans="9:9">
      <c r="I1843" s="155"/>
    </row>
    <row r="1844" spans="9:9">
      <c r="I1844" s="155"/>
    </row>
    <row r="1845" spans="9:9">
      <c r="I1845" s="155"/>
    </row>
    <row r="1846" spans="9:9">
      <c r="I1846" s="155"/>
    </row>
    <row r="1847" spans="9:9">
      <c r="I1847" s="155"/>
    </row>
    <row r="1848" spans="9:9">
      <c r="I1848" s="155"/>
    </row>
    <row r="1849" spans="9:9">
      <c r="I1849" s="155"/>
    </row>
    <row r="1850" spans="9:9">
      <c r="I1850" s="155"/>
    </row>
    <row r="1851" spans="9:9">
      <c r="I1851" s="155"/>
    </row>
    <row r="1852" spans="9:9">
      <c r="I1852" s="155"/>
    </row>
    <row r="1853" spans="9:9">
      <c r="I1853" s="155"/>
    </row>
    <row r="1854" spans="9:9">
      <c r="I1854" s="155"/>
    </row>
    <row r="1855" spans="9:9">
      <c r="I1855" s="155"/>
    </row>
    <row r="1856" spans="9:9">
      <c r="I1856" s="155"/>
    </row>
    <row r="1857" spans="9:9">
      <c r="I1857" s="155"/>
    </row>
    <row r="1858" spans="9:9">
      <c r="I1858" s="155"/>
    </row>
    <row r="1859" spans="9:9">
      <c r="I1859" s="155"/>
    </row>
    <row r="1860" spans="9:9">
      <c r="I1860" s="155"/>
    </row>
    <row r="1861" spans="9:9">
      <c r="I1861" s="155"/>
    </row>
    <row r="1862" spans="9:9">
      <c r="I1862" s="155"/>
    </row>
    <row r="1863" spans="9:9">
      <c r="I1863" s="155"/>
    </row>
    <row r="1864" spans="9:9">
      <c r="I1864" s="155"/>
    </row>
    <row r="1865" spans="9:9">
      <c r="I1865" s="155"/>
    </row>
    <row r="1866" spans="9:9">
      <c r="I1866" s="155"/>
    </row>
    <row r="1867" spans="9:9">
      <c r="I1867" s="155"/>
    </row>
    <row r="1868" spans="9:9">
      <c r="I1868" s="155"/>
    </row>
    <row r="1869" spans="9:9">
      <c r="I1869" s="155"/>
    </row>
    <row r="1870" spans="9:9">
      <c r="I1870" s="155"/>
    </row>
    <row r="1871" spans="9:9">
      <c r="I1871" s="155"/>
    </row>
    <row r="1872" spans="9:9">
      <c r="I1872" s="155"/>
    </row>
    <row r="1873" spans="9:9">
      <c r="I1873" s="155"/>
    </row>
    <row r="1874" spans="9:9">
      <c r="I1874" s="155"/>
    </row>
    <row r="1875" spans="9:9">
      <c r="I1875" s="155"/>
    </row>
    <row r="1876" spans="9:9">
      <c r="I1876" s="155"/>
    </row>
    <row r="1877" spans="9:9">
      <c r="I1877" s="155"/>
    </row>
    <row r="1878" spans="9:9">
      <c r="I1878" s="155"/>
    </row>
    <row r="1879" spans="9:9">
      <c r="I1879" s="155"/>
    </row>
    <row r="1880" spans="9:9">
      <c r="I1880" s="155"/>
    </row>
    <row r="1881" spans="9:9">
      <c r="I1881" s="155"/>
    </row>
    <row r="1882" spans="9:9">
      <c r="I1882" s="155"/>
    </row>
    <row r="1883" spans="9:9">
      <c r="I1883" s="155"/>
    </row>
    <row r="1884" spans="9:9">
      <c r="I1884" s="155"/>
    </row>
    <row r="1885" spans="9:9">
      <c r="I1885" s="155"/>
    </row>
    <row r="1886" spans="9:9">
      <c r="I1886" s="155"/>
    </row>
    <row r="1887" spans="9:9">
      <c r="I1887" s="155"/>
    </row>
    <row r="1888" spans="9:9">
      <c r="I1888" s="155"/>
    </row>
    <row r="1889" spans="9:9">
      <c r="I1889" s="155"/>
    </row>
    <row r="1890" spans="9:9">
      <c r="I1890" s="155"/>
    </row>
    <row r="1891" spans="9:9">
      <c r="I1891" s="155"/>
    </row>
    <row r="1892" spans="9:9">
      <c r="I1892" s="155"/>
    </row>
    <row r="1893" spans="9:9">
      <c r="I1893" s="155"/>
    </row>
    <row r="1894" spans="9:9">
      <c r="I1894" s="155"/>
    </row>
    <row r="1895" spans="9:9">
      <c r="I1895" s="155"/>
    </row>
    <row r="1896" spans="9:9">
      <c r="I1896" s="155"/>
    </row>
    <row r="1897" spans="9:9">
      <c r="I1897" s="155"/>
    </row>
    <row r="1898" spans="9:9">
      <c r="I1898" s="155"/>
    </row>
    <row r="1899" spans="9:9">
      <c r="I1899" s="155"/>
    </row>
    <row r="1900" spans="9:9">
      <c r="I1900" s="155"/>
    </row>
    <row r="1901" spans="9:9">
      <c r="I1901" s="155"/>
    </row>
    <row r="1902" spans="9:9">
      <c r="I1902" s="155"/>
    </row>
    <row r="1903" spans="9:9">
      <c r="I1903" s="155"/>
    </row>
    <row r="1904" spans="9:9">
      <c r="I1904" s="155"/>
    </row>
    <row r="1905" spans="9:9">
      <c r="I1905" s="155"/>
    </row>
    <row r="1906" spans="9:9">
      <c r="I1906" s="155"/>
    </row>
    <row r="1907" spans="9:9">
      <c r="I1907" s="155"/>
    </row>
    <row r="1908" spans="9:9">
      <c r="I1908" s="155"/>
    </row>
    <row r="1909" spans="9:9">
      <c r="I1909" s="155"/>
    </row>
    <row r="1910" spans="9:9">
      <c r="I1910" s="155"/>
    </row>
    <row r="1911" spans="9:9">
      <c r="I1911" s="155"/>
    </row>
    <row r="1912" spans="9:9">
      <c r="I1912" s="155"/>
    </row>
    <row r="1913" spans="9:9">
      <c r="I1913" s="155"/>
    </row>
    <row r="1914" spans="9:9">
      <c r="I1914" s="155"/>
    </row>
    <row r="1915" spans="9:9">
      <c r="I1915" s="155"/>
    </row>
    <row r="1916" spans="9:9">
      <c r="I1916" s="155"/>
    </row>
    <row r="1917" spans="9:9">
      <c r="I1917" s="155"/>
    </row>
    <row r="1918" spans="9:9">
      <c r="I1918" s="155"/>
    </row>
    <row r="1919" spans="9:9">
      <c r="I1919" s="155"/>
    </row>
    <row r="1920" spans="9:9">
      <c r="I1920" s="155"/>
    </row>
    <row r="1921" spans="9:9">
      <c r="I1921" s="155"/>
    </row>
    <row r="1922" spans="9:9">
      <c r="I1922" s="155"/>
    </row>
    <row r="1923" spans="9:9">
      <c r="I1923" s="155"/>
    </row>
    <row r="1924" spans="9:9">
      <c r="I1924" s="155"/>
    </row>
    <row r="1925" spans="9:9">
      <c r="I1925" s="155"/>
    </row>
    <row r="1926" spans="9:9">
      <c r="I1926" s="155"/>
    </row>
    <row r="1927" spans="9:9">
      <c r="I1927" s="155"/>
    </row>
    <row r="1928" spans="9:9">
      <c r="I1928" s="155"/>
    </row>
    <row r="1929" spans="9:9">
      <c r="I1929" s="155"/>
    </row>
    <row r="1930" spans="9:9">
      <c r="I1930" s="155"/>
    </row>
    <row r="1931" spans="9:9">
      <c r="I1931" s="155"/>
    </row>
    <row r="1932" spans="9:9">
      <c r="I1932" s="155"/>
    </row>
    <row r="1933" spans="9:9">
      <c r="I1933" s="155"/>
    </row>
    <row r="1934" spans="9:9">
      <c r="I1934" s="155"/>
    </row>
    <row r="1935" spans="9:9">
      <c r="I1935" s="155"/>
    </row>
    <row r="1936" spans="9:9">
      <c r="I1936" s="155"/>
    </row>
    <row r="1937" spans="9:9">
      <c r="I1937" s="155"/>
    </row>
    <row r="1938" spans="9:9">
      <c r="I1938" s="155"/>
    </row>
    <row r="1939" spans="9:9">
      <c r="I1939" s="155"/>
    </row>
    <row r="1940" spans="9:9">
      <c r="I1940" s="155"/>
    </row>
    <row r="1941" spans="9:9">
      <c r="I1941" s="155"/>
    </row>
    <row r="1942" spans="9:9">
      <c r="I1942" s="155"/>
    </row>
    <row r="1943" spans="9:9">
      <c r="I1943" s="155"/>
    </row>
    <row r="1944" spans="9:9">
      <c r="I1944" s="155"/>
    </row>
    <row r="1945" spans="9:9">
      <c r="I1945" s="155"/>
    </row>
    <row r="1946" spans="9:9">
      <c r="I1946" s="155"/>
    </row>
    <row r="1947" spans="9:9">
      <c r="I1947" s="155"/>
    </row>
    <row r="1948" spans="9:9">
      <c r="I1948" s="155"/>
    </row>
    <row r="1949" spans="9:9">
      <c r="I1949" s="155"/>
    </row>
    <row r="1950" spans="9:9">
      <c r="I1950" s="155"/>
    </row>
    <row r="1951" spans="9:9">
      <c r="I1951" s="155"/>
    </row>
    <row r="1952" spans="9:9">
      <c r="I1952" s="155"/>
    </row>
    <row r="1953" spans="9:9">
      <c r="I1953" s="155"/>
    </row>
    <row r="1954" spans="9:9">
      <c r="I1954" s="155"/>
    </row>
    <row r="1955" spans="9:9">
      <c r="I1955" s="155"/>
    </row>
    <row r="1956" spans="9:9">
      <c r="I1956" s="155"/>
    </row>
    <row r="1957" spans="9:9">
      <c r="I1957" s="155"/>
    </row>
    <row r="1958" spans="9:9">
      <c r="I1958" s="155"/>
    </row>
    <row r="1959" spans="9:9">
      <c r="I1959" s="155"/>
    </row>
    <row r="1960" spans="9:9">
      <c r="I1960" s="155"/>
    </row>
    <row r="1961" spans="9:9">
      <c r="I1961" s="155"/>
    </row>
    <row r="1962" spans="9:9">
      <c r="I1962" s="155"/>
    </row>
    <row r="1963" spans="9:9">
      <c r="I1963" s="155"/>
    </row>
    <row r="1964" spans="9:9">
      <c r="I1964" s="155"/>
    </row>
    <row r="1965" spans="9:9">
      <c r="I1965" s="155"/>
    </row>
    <row r="1966" spans="9:9">
      <c r="I1966" s="155"/>
    </row>
    <row r="1967" spans="9:9">
      <c r="I1967" s="155"/>
    </row>
    <row r="1968" spans="9:9">
      <c r="I1968" s="155"/>
    </row>
    <row r="1969" spans="9:9">
      <c r="I1969" s="155"/>
    </row>
    <row r="1970" spans="9:9">
      <c r="I1970" s="155"/>
    </row>
    <row r="1971" spans="9:9">
      <c r="I1971" s="155"/>
    </row>
    <row r="1972" spans="9:9">
      <c r="I1972" s="155"/>
    </row>
    <row r="1973" spans="9:9">
      <c r="I1973" s="155"/>
    </row>
    <row r="1974" spans="9:9">
      <c r="I1974" s="155"/>
    </row>
    <row r="1975" spans="9:9">
      <c r="I1975" s="155"/>
    </row>
    <row r="1976" spans="9:9">
      <c r="I1976" s="155"/>
    </row>
    <row r="1977" spans="9:9">
      <c r="I1977" s="155"/>
    </row>
    <row r="1978" spans="9:9">
      <c r="I1978" s="155"/>
    </row>
    <row r="1979" spans="9:9">
      <c r="I1979" s="155"/>
    </row>
    <row r="1980" spans="9:9">
      <c r="I1980" s="155"/>
    </row>
    <row r="1981" spans="9:9">
      <c r="I1981" s="155"/>
    </row>
    <row r="1982" spans="9:9">
      <c r="I1982" s="155"/>
    </row>
    <row r="1983" spans="9:9">
      <c r="I1983" s="155"/>
    </row>
    <row r="1984" spans="9:9">
      <c r="I1984" s="155"/>
    </row>
    <row r="1985" spans="9:9">
      <c r="I1985" s="155"/>
    </row>
    <row r="1986" spans="9:9">
      <c r="I1986" s="155"/>
    </row>
    <row r="1987" spans="9:9">
      <c r="I1987" s="155"/>
    </row>
    <row r="1988" spans="9:9">
      <c r="I1988" s="155"/>
    </row>
    <row r="1989" spans="9:9">
      <c r="I1989" s="155"/>
    </row>
    <row r="1990" spans="9:9">
      <c r="I1990" s="155"/>
    </row>
    <row r="1991" spans="9:9">
      <c r="I1991" s="155"/>
    </row>
    <row r="1992" spans="9:9">
      <c r="I1992" s="155"/>
    </row>
    <row r="1993" spans="9:9">
      <c r="I1993" s="155"/>
    </row>
    <row r="1994" spans="9:9">
      <c r="I1994" s="155"/>
    </row>
    <row r="1995" spans="9:9">
      <c r="I1995" s="155"/>
    </row>
    <row r="1996" spans="9:9">
      <c r="I1996" s="155"/>
    </row>
    <row r="1997" spans="9:9">
      <c r="I1997" s="155"/>
    </row>
    <row r="1998" spans="9:9">
      <c r="I1998" s="155"/>
    </row>
    <row r="1999" spans="9:9">
      <c r="I1999" s="155"/>
    </row>
    <row r="2000" spans="9:9">
      <c r="I2000" s="155"/>
    </row>
    <row r="2001" spans="9:9">
      <c r="I2001" s="155"/>
    </row>
    <row r="2002" spans="9:9">
      <c r="I2002" s="155"/>
    </row>
    <row r="2003" spans="9:9">
      <c r="I2003" s="155"/>
    </row>
    <row r="2004" spans="9:9">
      <c r="I2004" s="155"/>
    </row>
    <row r="2005" spans="9:9">
      <c r="I2005" s="155"/>
    </row>
    <row r="2006" spans="9:9">
      <c r="I2006" s="155"/>
    </row>
    <row r="2007" spans="9:9">
      <c r="I2007" s="155"/>
    </row>
    <row r="2008" spans="9:9">
      <c r="I2008" s="155"/>
    </row>
    <row r="2009" spans="9:9">
      <c r="I2009" s="155"/>
    </row>
    <row r="2010" spans="9:9">
      <c r="I2010" s="155"/>
    </row>
    <row r="2011" spans="9:9">
      <c r="I2011" s="155"/>
    </row>
    <row r="2012" spans="9:9">
      <c r="I2012" s="155"/>
    </row>
    <row r="2013" spans="9:9">
      <c r="I2013" s="155"/>
    </row>
    <row r="2014" spans="9:9">
      <c r="I2014" s="155"/>
    </row>
    <row r="2015" spans="9:9">
      <c r="I2015" s="155"/>
    </row>
    <row r="2016" spans="9:9">
      <c r="I2016" s="155"/>
    </row>
    <row r="2017" spans="9:9">
      <c r="I2017" s="155"/>
    </row>
    <row r="2018" spans="9:9">
      <c r="I2018" s="155"/>
    </row>
    <row r="2019" spans="9:9">
      <c r="I2019" s="155"/>
    </row>
    <row r="2020" spans="9:9">
      <c r="I2020" s="155"/>
    </row>
    <row r="2021" spans="9:9">
      <c r="I2021" s="155"/>
    </row>
    <row r="2022" spans="9:9">
      <c r="I2022" s="155"/>
    </row>
    <row r="2023" spans="9:9">
      <c r="I2023" s="155"/>
    </row>
    <row r="2024" spans="9:9">
      <c r="I2024" s="155"/>
    </row>
    <row r="2025" spans="9:9">
      <c r="I2025" s="155"/>
    </row>
    <row r="2026" spans="9:9">
      <c r="I2026" s="155"/>
    </row>
    <row r="2027" spans="9:9">
      <c r="I2027" s="155"/>
    </row>
    <row r="2028" spans="9:9">
      <c r="I2028" s="155"/>
    </row>
    <row r="2029" spans="9:9">
      <c r="I2029" s="155"/>
    </row>
    <row r="2030" spans="9:9">
      <c r="I2030" s="155"/>
    </row>
    <row r="2031" spans="9:9">
      <c r="I2031" s="155"/>
    </row>
    <row r="2032" spans="9:9">
      <c r="I2032" s="155"/>
    </row>
    <row r="2033" spans="9:9">
      <c r="I2033" s="155"/>
    </row>
    <row r="2034" spans="9:9">
      <c r="I2034" s="155"/>
    </row>
    <row r="2035" spans="9:9">
      <c r="I2035" s="155"/>
    </row>
    <row r="2036" spans="9:9">
      <c r="I2036" s="155"/>
    </row>
    <row r="2037" spans="9:9">
      <c r="I2037" s="155"/>
    </row>
    <row r="2038" spans="9:9">
      <c r="I2038" s="155"/>
    </row>
    <row r="2039" spans="9:9">
      <c r="I2039" s="155"/>
    </row>
    <row r="2040" spans="9:9">
      <c r="I2040" s="155"/>
    </row>
    <row r="2041" spans="9:9">
      <c r="I2041" s="155"/>
    </row>
    <row r="2042" spans="9:9">
      <c r="I2042" s="155"/>
    </row>
    <row r="2043" spans="9:9">
      <c r="I2043" s="155"/>
    </row>
    <row r="2044" spans="9:9">
      <c r="I2044" s="155"/>
    </row>
    <row r="2045" spans="9:9">
      <c r="I2045" s="155"/>
    </row>
    <row r="2046" spans="9:9">
      <c r="I2046" s="155"/>
    </row>
    <row r="2047" spans="9:9">
      <c r="I2047" s="155"/>
    </row>
    <row r="2048" spans="9:9">
      <c r="I2048" s="155"/>
    </row>
    <row r="2049" spans="9:9">
      <c r="I2049" s="155"/>
    </row>
    <row r="2050" spans="9:9">
      <c r="I2050" s="155"/>
    </row>
    <row r="2051" spans="9:9">
      <c r="I2051" s="155"/>
    </row>
    <row r="2052" spans="9:9">
      <c r="I2052" s="155"/>
    </row>
    <row r="2053" spans="9:9">
      <c r="I2053" s="155"/>
    </row>
    <row r="2054" spans="9:9">
      <c r="I2054" s="155"/>
    </row>
    <row r="2055" spans="9:9">
      <c r="I2055" s="155"/>
    </row>
    <row r="2056" spans="9:9">
      <c r="I2056" s="155"/>
    </row>
    <row r="2057" spans="9:9">
      <c r="I2057" s="155"/>
    </row>
    <row r="2058" spans="9:9">
      <c r="I2058" s="155"/>
    </row>
    <row r="2059" spans="9:9">
      <c r="I2059" s="155"/>
    </row>
    <row r="2060" spans="9:9">
      <c r="I2060" s="155"/>
    </row>
    <row r="2061" spans="9:9">
      <c r="I2061" s="155"/>
    </row>
    <row r="2062" spans="9:9">
      <c r="I2062" s="155"/>
    </row>
    <row r="2063" spans="9:9">
      <c r="I2063" s="155"/>
    </row>
    <row r="2064" spans="9:9">
      <c r="I2064" s="155"/>
    </row>
    <row r="2065" spans="9:9">
      <c r="I2065" s="155"/>
    </row>
    <row r="2066" spans="9:9">
      <c r="I2066" s="155"/>
    </row>
    <row r="2067" spans="9:9">
      <c r="I2067" s="155"/>
    </row>
    <row r="2068" spans="9:9">
      <c r="I2068" s="155"/>
    </row>
    <row r="2069" spans="9:9">
      <c r="I2069" s="155"/>
    </row>
    <row r="2070" spans="9:9">
      <c r="I2070" s="155"/>
    </row>
    <row r="2071" spans="9:9">
      <c r="I2071" s="155"/>
    </row>
    <row r="2072" spans="9:9">
      <c r="I2072" s="155"/>
    </row>
    <row r="2073" spans="9:9">
      <c r="I2073" s="155"/>
    </row>
    <row r="2074" spans="9:9">
      <c r="I2074" s="155"/>
    </row>
    <row r="2075" spans="9:9">
      <c r="I2075" s="155"/>
    </row>
    <row r="2076" spans="9:9">
      <c r="I2076" s="155"/>
    </row>
    <row r="2077" spans="9:9">
      <c r="I2077" s="155"/>
    </row>
    <row r="2078" spans="9:9">
      <c r="I2078" s="155"/>
    </row>
    <row r="2079" spans="9:9">
      <c r="I2079" s="155"/>
    </row>
    <row r="2080" spans="9:9">
      <c r="I2080" s="155"/>
    </row>
    <row r="2081" spans="9:9">
      <c r="I2081" s="155"/>
    </row>
    <row r="2082" spans="9:9">
      <c r="I2082" s="155"/>
    </row>
    <row r="2083" spans="9:9">
      <c r="I2083" s="155"/>
    </row>
    <row r="2084" spans="9:9">
      <c r="I2084" s="155"/>
    </row>
    <row r="2085" spans="9:9">
      <c r="I2085" s="155"/>
    </row>
    <row r="2086" spans="9:9">
      <c r="I2086" s="155"/>
    </row>
    <row r="2087" spans="9:9">
      <c r="I2087" s="155"/>
    </row>
    <row r="2088" spans="9:9">
      <c r="I2088" s="155"/>
    </row>
    <row r="2089" spans="9:9">
      <c r="I2089" s="155"/>
    </row>
    <row r="2090" spans="9:9">
      <c r="I2090" s="155"/>
    </row>
  </sheetData>
  <mergeCells count="3">
    <mergeCell ref="C11:E11"/>
    <mergeCell ref="C12:E12"/>
    <mergeCell ref="K9:U9"/>
  </mergeCells>
  <phoneticPr fontId="9" type="noConversion"/>
  <pageMargins left="0.4" right="0.25" top="1" bottom="0.4" header="0.5" footer="0.5"/>
  <pageSetup scale="45" orientation="landscape" r:id="rId1"/>
  <headerFooter alignWithMargins="0"/>
  <rowBreaks count="4" manualBreakCount="4">
    <brk id="78" min="2" max="32" man="1"/>
    <brk id="144" min="2" max="32" man="1"/>
    <brk id="264" min="2" max="32" man="1"/>
    <brk id="419" min="2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T178"/>
  <sheetViews>
    <sheetView workbookViewId="0"/>
  </sheetViews>
  <sheetFormatPr defaultRowHeight="15"/>
  <cols>
    <col min="1" max="1" width="15.44140625" customWidth="1"/>
    <col min="3" max="3" width="6.109375" customWidth="1"/>
    <col min="4" max="4" width="13.77734375" bestFit="1" customWidth="1"/>
    <col min="5" max="5" width="1.44140625" customWidth="1"/>
    <col min="6" max="6" width="13.33203125" bestFit="1" customWidth="1"/>
    <col min="7" max="7" width="1.33203125" customWidth="1"/>
    <col min="8" max="8" width="13.109375" bestFit="1" customWidth="1"/>
    <col min="9" max="9" width="1.33203125" customWidth="1"/>
    <col min="10" max="10" width="12.21875" bestFit="1" customWidth="1"/>
    <col min="11" max="11" width="1.77734375" customWidth="1"/>
    <col min="12" max="12" width="12.21875" style="29" bestFit="1" customWidth="1"/>
    <col min="13" max="13" width="1.33203125" style="29" customWidth="1"/>
    <col min="14" max="14" width="12.21875" style="29" bestFit="1" customWidth="1"/>
    <col min="15" max="15" width="1.109375" style="29" customWidth="1"/>
    <col min="16" max="16" width="12.21875" style="29" bestFit="1" customWidth="1"/>
    <col min="17" max="17" width="9" bestFit="1" customWidth="1"/>
    <col min="18" max="18" width="9.77734375" bestFit="1" customWidth="1"/>
  </cols>
  <sheetData>
    <row r="1" spans="1:20" ht="16.5" thickBot="1">
      <c r="A1" s="444" t="s">
        <v>558</v>
      </c>
      <c r="B1" s="442"/>
      <c r="C1" s="442"/>
      <c r="D1" s="442"/>
      <c r="E1" s="442"/>
      <c r="F1" s="442"/>
      <c r="G1" s="442"/>
      <c r="H1" s="442"/>
      <c r="I1" s="442"/>
    </row>
    <row r="2" spans="1:20" ht="17.25" thickTop="1" thickBot="1">
      <c r="A2" s="443" t="s">
        <v>559</v>
      </c>
      <c r="B2" s="442"/>
      <c r="C2" s="445">
        <v>2</v>
      </c>
    </row>
    <row r="3" spans="1:20" ht="15.75" thickTop="1"/>
    <row r="4" spans="1:20">
      <c r="A4" s="11" t="s">
        <v>279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2"/>
      <c r="O4" s="67"/>
      <c r="P4" s="1048" t="s">
        <v>19</v>
      </c>
      <c r="Q4" s="11"/>
      <c r="R4" s="11"/>
      <c r="S4" s="11"/>
      <c r="T4" s="11"/>
    </row>
    <row r="5" spans="1:20">
      <c r="A5" s="52">
        <f ca="1">NOW()</f>
        <v>43487.422283449072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2"/>
      <c r="N5" s="11"/>
      <c r="O5" s="11"/>
      <c r="P5" s="11"/>
      <c r="Q5" s="11"/>
      <c r="R5" s="11"/>
      <c r="S5" s="11"/>
      <c r="T5" s="11"/>
    </row>
    <row r="6" spans="1:20" ht="15.75">
      <c r="A6" s="92" t="str">
        <f>IF($C$2=1,"make sure cell C2 = 2 for Proposed ROR", "OK")</f>
        <v>OK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2"/>
      <c r="N6" s="11"/>
      <c r="O6" s="11"/>
      <c r="P6" s="11"/>
      <c r="Q6" s="11"/>
      <c r="R6" s="11"/>
      <c r="S6" s="11"/>
      <c r="T6" s="11"/>
    </row>
    <row r="7" spans="1:20">
      <c r="A7" s="55" t="s">
        <v>802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97"/>
      <c r="N7" s="54"/>
      <c r="O7" s="54"/>
      <c r="P7" s="54"/>
      <c r="Q7" s="11"/>
      <c r="R7" s="11"/>
      <c r="S7" s="11"/>
      <c r="T7" s="11"/>
    </row>
    <row r="8" spans="1:20" ht="15.75">
      <c r="A8" s="96"/>
      <c r="B8" s="54"/>
      <c r="C8" s="54"/>
      <c r="D8" s="54"/>
      <c r="E8" s="54"/>
      <c r="F8" s="54"/>
      <c r="G8" s="54"/>
      <c r="H8" s="54"/>
      <c r="I8" s="54"/>
      <c r="J8" s="54"/>
      <c r="K8" s="97"/>
      <c r="L8" s="54"/>
      <c r="M8" s="197"/>
      <c r="N8" s="54"/>
      <c r="O8" s="54"/>
      <c r="P8" s="54"/>
      <c r="Q8" s="11"/>
      <c r="R8" s="11"/>
      <c r="S8" s="11"/>
      <c r="T8" s="11"/>
    </row>
    <row r="9" spans="1:20">
      <c r="A9" s="55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96"/>
      <c r="N9" s="55"/>
      <c r="O9" s="55"/>
      <c r="P9" s="55"/>
      <c r="Q9" s="11"/>
      <c r="R9" s="11"/>
      <c r="S9" s="11"/>
      <c r="T9" s="11"/>
    </row>
    <row r="10" spans="1:20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96"/>
      <c r="N10" s="55"/>
      <c r="O10" s="55"/>
      <c r="P10" s="55"/>
      <c r="Q10" s="11"/>
      <c r="R10" s="11"/>
      <c r="S10" s="11"/>
      <c r="T10" s="11"/>
    </row>
    <row r="11" spans="1:20">
      <c r="A11" s="23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196"/>
      <c r="N11" s="55"/>
      <c r="O11" s="55"/>
      <c r="P11" s="55"/>
      <c r="Q11" s="11"/>
      <c r="R11" s="11"/>
      <c r="S11" s="11"/>
      <c r="T11" s="11"/>
    </row>
    <row r="12" spans="1:20">
      <c r="A12" s="34"/>
      <c r="B12" s="34"/>
      <c r="C12" s="34"/>
      <c r="D12" s="34"/>
      <c r="E12" s="34"/>
      <c r="F12" s="34"/>
      <c r="G12" s="34"/>
      <c r="H12" s="60"/>
      <c r="I12" s="34"/>
      <c r="J12" s="60"/>
      <c r="K12" s="34"/>
      <c r="L12" s="60"/>
      <c r="M12" s="130"/>
      <c r="N12" s="60"/>
      <c r="O12" s="417"/>
      <c r="P12" s="401"/>
      <c r="Q12" s="11"/>
      <c r="R12" s="11"/>
      <c r="S12" s="11"/>
      <c r="T12" s="11"/>
    </row>
    <row r="13" spans="1:20">
      <c r="A13" s="34"/>
      <c r="B13" s="34"/>
      <c r="C13" s="34"/>
      <c r="D13" s="60" t="s">
        <v>215</v>
      </c>
      <c r="E13" s="34"/>
      <c r="F13" s="60"/>
      <c r="G13" s="34"/>
      <c r="H13" s="60"/>
      <c r="I13" s="34"/>
      <c r="J13" s="60"/>
      <c r="K13" s="34"/>
      <c r="L13" s="60"/>
      <c r="M13" s="130"/>
      <c r="N13" s="60"/>
      <c r="O13" s="417"/>
      <c r="P13" s="401"/>
      <c r="Q13" s="11"/>
      <c r="R13" s="11"/>
      <c r="S13" s="11"/>
      <c r="T13" s="11"/>
    </row>
    <row r="14" spans="1:20">
      <c r="A14" s="55" t="s">
        <v>22</v>
      </c>
      <c r="B14" s="55"/>
      <c r="C14" s="34"/>
      <c r="D14" s="60" t="s">
        <v>171</v>
      </c>
      <c r="E14" s="34"/>
      <c r="F14" s="60" t="s">
        <v>318</v>
      </c>
      <c r="G14" s="34"/>
      <c r="H14" s="60" t="s">
        <v>314</v>
      </c>
      <c r="I14" s="34"/>
      <c r="J14" s="60" t="s">
        <v>315</v>
      </c>
      <c r="K14" s="34"/>
      <c r="L14" s="60" t="s">
        <v>316</v>
      </c>
      <c r="M14" s="130"/>
      <c r="N14" s="60" t="s">
        <v>462</v>
      </c>
      <c r="O14" s="417"/>
      <c r="P14" s="401" t="s">
        <v>424</v>
      </c>
      <c r="Q14" s="11"/>
      <c r="R14" s="11"/>
      <c r="S14" s="11"/>
      <c r="T14" s="11"/>
    </row>
    <row r="15" spans="1:20">
      <c r="A15" s="56" t="s">
        <v>173</v>
      </c>
      <c r="B15" s="56"/>
      <c r="C15" s="34"/>
      <c r="D15" s="59" t="s">
        <v>181</v>
      </c>
      <c r="E15" s="34"/>
      <c r="F15" s="59" t="s">
        <v>194</v>
      </c>
      <c r="G15" s="34"/>
      <c r="H15" s="59" t="s">
        <v>190</v>
      </c>
      <c r="I15" s="34"/>
      <c r="J15" s="59" t="s">
        <v>201</v>
      </c>
      <c r="K15" s="34"/>
      <c r="L15" s="59" t="s">
        <v>197</v>
      </c>
      <c r="M15" s="130"/>
      <c r="N15" s="82">
        <f>+L15-1</f>
        <v>-7</v>
      </c>
      <c r="O15" s="82"/>
      <c r="P15" s="82">
        <v>-8</v>
      </c>
      <c r="Q15" s="11"/>
      <c r="R15" s="11"/>
      <c r="S15" s="11"/>
      <c r="T15" s="11"/>
    </row>
    <row r="16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44"/>
      <c r="N16" s="34"/>
      <c r="O16" s="34"/>
      <c r="P16" s="34"/>
      <c r="Q16" s="11"/>
      <c r="R16" s="11"/>
      <c r="S16" s="11"/>
      <c r="T16" s="11"/>
    </row>
    <row r="17" spans="1:20">
      <c r="A17" s="34" t="s">
        <v>151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44"/>
      <c r="N17" s="34"/>
      <c r="O17" s="34"/>
      <c r="P17" s="34"/>
      <c r="Q17" s="11"/>
      <c r="R17" s="11"/>
      <c r="S17" s="11"/>
      <c r="T17" s="11"/>
    </row>
    <row r="18" spans="1:20">
      <c r="A18" s="34" t="s">
        <v>23</v>
      </c>
      <c r="B18" s="34"/>
      <c r="C18" s="34"/>
      <c r="D18" s="204">
        <f>SUM(F18:P18)</f>
        <v>599203947.64890563</v>
      </c>
      <c r="E18" s="34"/>
      <c r="F18" s="84">
        <f>+Sched.A!L16</f>
        <v>344928839.40844595</v>
      </c>
      <c r="G18" s="34"/>
      <c r="H18" s="84">
        <f>+Sched.A!L18</f>
        <v>133115267.45005076</v>
      </c>
      <c r="I18" s="34"/>
      <c r="J18" s="84">
        <f>+Sched.A!L20</f>
        <v>35475879.965263546</v>
      </c>
      <c r="K18" s="34"/>
      <c r="L18" s="84">
        <f>+Sched.A!L22</f>
        <v>36426970.825145319</v>
      </c>
      <c r="M18" s="34"/>
      <c r="N18" s="84">
        <f>+Sched.A!L24</f>
        <v>34350074</v>
      </c>
      <c r="O18" s="84"/>
      <c r="P18" s="84">
        <f>+Sched.A!L26</f>
        <v>14906916</v>
      </c>
      <c r="Q18" s="11">
        <f t="shared" ref="Q18:Q36" si="0">+D18-SUM(F18:P18)</f>
        <v>0</v>
      </c>
      <c r="R18" s="11"/>
      <c r="S18" s="11"/>
      <c r="T18" s="11"/>
    </row>
    <row r="19" spans="1:20">
      <c r="A19" s="34" t="s">
        <v>24</v>
      </c>
      <c r="B19" s="34"/>
      <c r="C19" s="34"/>
      <c r="D19" s="25">
        <f>SUM(F19:P19)</f>
        <v>5880007</v>
      </c>
      <c r="E19" s="25"/>
      <c r="F19" s="25">
        <f>+Alloc!K258+Alloc!W258</f>
        <v>3920360</v>
      </c>
      <c r="G19" s="25"/>
      <c r="H19" s="25">
        <f>+Alloc!M258+Alloc!Y258</f>
        <v>1538146</v>
      </c>
      <c r="I19" s="25"/>
      <c r="J19" s="25">
        <f>+Alloc!O258+Alloc!AA258</f>
        <v>327287</v>
      </c>
      <c r="K19" s="25"/>
      <c r="L19" s="25">
        <f>+Alloc!Q258+Alloc!AC258</f>
        <v>37269</v>
      </c>
      <c r="M19" s="25"/>
      <c r="N19" s="25">
        <f>+Alloc!S258+Alloc!AE258</f>
        <v>37661</v>
      </c>
      <c r="O19" s="25"/>
      <c r="P19" s="211">
        <f>+Alloc!U258+Alloc!AG258</f>
        <v>19284</v>
      </c>
      <c r="Q19" s="11">
        <f t="shared" si="0"/>
        <v>0</v>
      </c>
      <c r="R19" s="11"/>
      <c r="S19" s="11"/>
      <c r="T19" s="11"/>
    </row>
    <row r="20" spans="1:20">
      <c r="A20" s="34"/>
      <c r="B20" s="34"/>
      <c r="C20" s="34"/>
      <c r="D20" s="83"/>
      <c r="E20" s="25"/>
      <c r="F20" s="83"/>
      <c r="G20" s="25"/>
      <c r="H20" s="83"/>
      <c r="I20" s="25"/>
      <c r="J20" s="83"/>
      <c r="K20" s="25"/>
      <c r="L20" s="83"/>
      <c r="M20" s="204"/>
      <c r="N20" s="83"/>
      <c r="O20" s="204"/>
      <c r="P20" s="204"/>
      <c r="Q20" s="11">
        <f t="shared" si="0"/>
        <v>0</v>
      </c>
      <c r="R20" s="11"/>
      <c r="S20" s="11"/>
      <c r="T20" s="11"/>
    </row>
    <row r="21" spans="1:20">
      <c r="A21" s="34" t="s">
        <v>25</v>
      </c>
      <c r="B21" s="34"/>
      <c r="C21" s="34"/>
      <c r="D21" s="25">
        <f>D19+D18</f>
        <v>605083954.64890563</v>
      </c>
      <c r="E21" s="25"/>
      <c r="F21" s="25">
        <f>F19+F18</f>
        <v>348849199.40844595</v>
      </c>
      <c r="G21" s="25"/>
      <c r="H21" s="25">
        <f>H19+H18</f>
        <v>134653413.45005077</v>
      </c>
      <c r="I21" s="25"/>
      <c r="J21" s="25">
        <f>J19+J18</f>
        <v>35803166.965263546</v>
      </c>
      <c r="K21" s="25"/>
      <c r="L21" s="25">
        <f>L19+L18</f>
        <v>36464239.825145319</v>
      </c>
      <c r="M21" s="25"/>
      <c r="N21" s="25">
        <f>N19+N18</f>
        <v>34387735</v>
      </c>
      <c r="O21" s="25"/>
      <c r="P21" s="25">
        <f t="shared" ref="P21" si="1">P19+P18</f>
        <v>14926200</v>
      </c>
      <c r="Q21" s="11">
        <f t="shared" si="0"/>
        <v>0</v>
      </c>
      <c r="R21" s="11"/>
      <c r="S21" s="11"/>
      <c r="T21" s="11"/>
    </row>
    <row r="22" spans="1:20">
      <c r="A22" s="34"/>
      <c r="B22" s="34"/>
      <c r="C22" s="34"/>
      <c r="D22" s="25"/>
      <c r="E22" s="25"/>
      <c r="F22" s="25"/>
      <c r="G22" s="25"/>
      <c r="H22" s="25"/>
      <c r="I22" s="25"/>
      <c r="J22" s="25"/>
      <c r="K22" s="25"/>
      <c r="L22" s="25"/>
      <c r="M22" s="204"/>
      <c r="N22" s="25"/>
      <c r="O22" s="25"/>
      <c r="P22" s="25"/>
      <c r="Q22" s="11">
        <f t="shared" si="0"/>
        <v>0</v>
      </c>
      <c r="R22" s="11"/>
      <c r="S22" s="11"/>
      <c r="T22" s="11"/>
    </row>
    <row r="23" spans="1:20">
      <c r="A23" s="34" t="s">
        <v>26</v>
      </c>
      <c r="B23" s="34"/>
      <c r="C23" s="34"/>
      <c r="D23" s="25">
        <f>SUM(F23:P23)</f>
        <v>364580322.99128175</v>
      </c>
      <c r="E23" s="25"/>
      <c r="F23" s="25">
        <f>+Alloc!K$244+Alloc!W$244</f>
        <v>250771113.64238232</v>
      </c>
      <c r="G23" s="25"/>
      <c r="H23" s="25">
        <f>+Alloc!M244+Alloc!Y244</f>
        <v>68360690.959779516</v>
      </c>
      <c r="I23" s="25"/>
      <c r="J23" s="25">
        <f>+Alloc!O244+Alloc!AA244</f>
        <v>13326770.203821175</v>
      </c>
      <c r="K23" s="25"/>
      <c r="L23" s="25">
        <f>+Alloc!Q244+Alloc!AC244</f>
        <v>11865557.185298745</v>
      </c>
      <c r="M23" s="25"/>
      <c r="N23" s="25">
        <f>+Alloc!S244+Alloc!AE244</f>
        <v>13710861</v>
      </c>
      <c r="O23" s="25"/>
      <c r="P23" s="211">
        <f>+Alloc!U244+Alloc!AG244</f>
        <v>6545330</v>
      </c>
      <c r="Q23" s="11">
        <f t="shared" si="0"/>
        <v>0</v>
      </c>
      <c r="R23" s="11"/>
      <c r="S23" s="11"/>
      <c r="T23" s="11"/>
    </row>
    <row r="24" spans="1:20">
      <c r="A24" s="34"/>
      <c r="B24" s="34"/>
      <c r="C24" s="34"/>
      <c r="D24" s="83"/>
      <c r="E24" s="25"/>
      <c r="F24" s="83"/>
      <c r="G24" s="25"/>
      <c r="H24" s="83"/>
      <c r="I24" s="25"/>
      <c r="J24" s="83"/>
      <c r="K24" s="25"/>
      <c r="L24" s="83"/>
      <c r="M24" s="204"/>
      <c r="N24" s="83"/>
      <c r="O24" s="83"/>
      <c r="P24" s="204"/>
      <c r="Q24" s="11">
        <f t="shared" si="0"/>
        <v>0</v>
      </c>
      <c r="R24" s="11"/>
      <c r="S24" s="11"/>
      <c r="T24" s="11"/>
    </row>
    <row r="25" spans="1:20">
      <c r="A25" s="34" t="s">
        <v>27</v>
      </c>
      <c r="B25" s="34"/>
      <c r="C25" s="34"/>
      <c r="D25" s="25">
        <f>D21-D23</f>
        <v>240503631.65762389</v>
      </c>
      <c r="E25" s="34"/>
      <c r="F25" s="25">
        <f>F21-F23</f>
        <v>98078085.766063631</v>
      </c>
      <c r="G25" s="34"/>
      <c r="H25" s="25">
        <f>H21-H23</f>
        <v>66292722.490271255</v>
      </c>
      <c r="I25" s="34"/>
      <c r="J25" s="25">
        <f>J21-J23</f>
        <v>22476396.761442371</v>
      </c>
      <c r="K25" s="34"/>
      <c r="L25" s="25">
        <f>L21-L23</f>
        <v>24598682.639846575</v>
      </c>
      <c r="M25" s="34"/>
      <c r="N25" s="25">
        <f>N21-N23</f>
        <v>20676874</v>
      </c>
      <c r="O25" s="25"/>
      <c r="P25" s="25">
        <f t="shared" ref="P25" si="2">P21-P23</f>
        <v>8380870</v>
      </c>
      <c r="Q25" s="11">
        <f t="shared" si="0"/>
        <v>0</v>
      </c>
      <c r="R25" s="11"/>
      <c r="S25" s="11"/>
      <c r="T25" s="11"/>
    </row>
    <row r="26" spans="1:20">
      <c r="A26" s="34"/>
      <c r="B26" s="34"/>
      <c r="C26" s="34"/>
      <c r="D26" s="25"/>
      <c r="E26" s="25"/>
      <c r="F26" s="25"/>
      <c r="G26" s="25"/>
      <c r="H26" s="25"/>
      <c r="I26" s="25"/>
      <c r="J26" s="25"/>
      <c r="K26" s="25"/>
      <c r="L26" s="25"/>
      <c r="M26" s="204"/>
      <c r="N26" s="25"/>
      <c r="O26" s="25"/>
      <c r="P26" s="25"/>
      <c r="Q26" s="11">
        <f t="shared" si="0"/>
        <v>0</v>
      </c>
      <c r="R26" s="11"/>
      <c r="S26" s="11"/>
      <c r="T26" s="11"/>
    </row>
    <row r="27" spans="1:20" s="104" customFormat="1">
      <c r="A27" s="223" t="s">
        <v>28</v>
      </c>
      <c r="B27" s="223"/>
      <c r="C27" s="223"/>
      <c r="D27" s="221">
        <v>50580000</v>
      </c>
      <c r="E27" s="221"/>
      <c r="F27" s="221">
        <f>ROUND(F43*$D27,0)</f>
        <v>31309020</v>
      </c>
      <c r="G27" s="221"/>
      <c r="H27" s="221">
        <f>ROUND(H43*$D27,0)</f>
        <v>11501892</v>
      </c>
      <c r="I27" s="221"/>
      <c r="J27" s="221">
        <f>ROUND(J43*$D27,0)</f>
        <v>2483478</v>
      </c>
      <c r="K27" s="221"/>
      <c r="L27" s="221">
        <f>ROUND(L43*$D27,0)</f>
        <v>2362086</v>
      </c>
      <c r="M27" s="221"/>
      <c r="N27" s="221">
        <f>ROUND(N43*$D27,0)</f>
        <v>1891692</v>
      </c>
      <c r="O27" s="221"/>
      <c r="P27" s="221">
        <f t="shared" ref="P27" si="3">ROUND(P43*$D27,0)</f>
        <v>1031832</v>
      </c>
      <c r="Q27" s="11">
        <f t="shared" si="0"/>
        <v>0</v>
      </c>
      <c r="R27" s="228"/>
      <c r="S27" s="228"/>
      <c r="T27" s="228"/>
    </row>
    <row r="28" spans="1:20">
      <c r="A28" s="34"/>
      <c r="B28" s="34"/>
      <c r="C28" s="34"/>
      <c r="D28" s="83"/>
      <c r="E28" s="25"/>
      <c r="F28" s="83"/>
      <c r="G28" s="25"/>
      <c r="H28" s="83"/>
      <c r="I28" s="25"/>
      <c r="J28" s="83"/>
      <c r="K28" s="25"/>
      <c r="L28" s="83"/>
      <c r="M28" s="204"/>
      <c r="N28" s="83"/>
      <c r="O28" s="83"/>
      <c r="P28" s="83"/>
      <c r="Q28" s="11">
        <f t="shared" si="0"/>
        <v>0</v>
      </c>
      <c r="R28" s="11"/>
      <c r="S28" s="11"/>
      <c r="T28" s="11"/>
    </row>
    <row r="29" spans="1:20">
      <c r="A29" s="34" t="s">
        <v>29</v>
      </c>
      <c r="B29" s="34"/>
      <c r="C29" s="34"/>
      <c r="D29" s="25">
        <f>D25-D27</f>
        <v>189923631.65762389</v>
      </c>
      <c r="E29" s="25"/>
      <c r="F29" s="25">
        <f>F25-F27</f>
        <v>66769065.766063631</v>
      </c>
      <c r="G29" s="25"/>
      <c r="H29" s="25">
        <f>H25-H27</f>
        <v>54790830.490271255</v>
      </c>
      <c r="I29" s="25"/>
      <c r="J29" s="25">
        <f>J25-J27</f>
        <v>19992918.761442371</v>
      </c>
      <c r="K29" s="25"/>
      <c r="L29" s="25">
        <f>L25-L27</f>
        <v>22236596.639846575</v>
      </c>
      <c r="M29" s="25"/>
      <c r="N29" s="25">
        <f>N25-N27</f>
        <v>18785182</v>
      </c>
      <c r="O29" s="25"/>
      <c r="P29" s="25">
        <f t="shared" ref="P29" si="4">P25-P27</f>
        <v>7349038</v>
      </c>
      <c r="Q29" s="11">
        <f t="shared" si="0"/>
        <v>0</v>
      </c>
      <c r="R29" s="11"/>
      <c r="S29" s="11"/>
      <c r="T29" s="11"/>
    </row>
    <row r="30" spans="1:20">
      <c r="A30" s="34"/>
      <c r="B30" s="34"/>
      <c r="C30" s="3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1">
        <f t="shared" si="0"/>
        <v>0</v>
      </c>
      <c r="R30" s="11"/>
      <c r="S30" s="11"/>
      <c r="T30" s="11"/>
    </row>
    <row r="31" spans="1:20">
      <c r="A31" s="34" t="s">
        <v>30</v>
      </c>
      <c r="B31" s="34"/>
      <c r="C31" s="34"/>
      <c r="D31" s="25">
        <f>+Alloc!B246*1000</f>
        <v>44094000</v>
      </c>
      <c r="E31" s="25"/>
      <c r="F31" s="25">
        <f>ROUND(+F44*$D31,0)</f>
        <v>15499041</v>
      </c>
      <c r="G31" s="25"/>
      <c r="H31" s="85">
        <f>ROUND(+H44*$D31,0)</f>
        <v>12721119</v>
      </c>
      <c r="I31" s="25"/>
      <c r="J31" s="25">
        <f>ROUND(+J44*$D31,0)</f>
        <v>4643098</v>
      </c>
      <c r="K31" s="25"/>
      <c r="L31" s="25">
        <f>ROUND(+L44*$D31,0)</f>
        <v>5163407</v>
      </c>
      <c r="M31" s="25"/>
      <c r="N31" s="25">
        <f>ROUND(+N44*$D31,0)</f>
        <v>4360897</v>
      </c>
      <c r="O31" s="25"/>
      <c r="P31" s="25">
        <f t="shared" ref="P31" si="5">ROUND(+P44*$D31,0)</f>
        <v>1706438</v>
      </c>
      <c r="Q31" s="11">
        <f t="shared" si="0"/>
        <v>0</v>
      </c>
      <c r="R31" s="11"/>
      <c r="S31" s="11"/>
      <c r="T31" s="11"/>
    </row>
    <row r="32" spans="1:20">
      <c r="A32" s="34"/>
      <c r="B32" s="34"/>
      <c r="C32" s="34"/>
      <c r="D32" s="24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1">
        <f t="shared" si="0"/>
        <v>0</v>
      </c>
      <c r="R32" s="11"/>
      <c r="S32" s="11"/>
      <c r="T32" s="11"/>
    </row>
    <row r="33" spans="1:20">
      <c r="A33" s="34" t="s">
        <v>31</v>
      </c>
      <c r="B33" s="34"/>
      <c r="C33" s="34"/>
      <c r="D33" s="25">
        <f>D25-D31</f>
        <v>196409631.65762389</v>
      </c>
      <c r="E33" s="25"/>
      <c r="F33" s="25">
        <f>F25-F31</f>
        <v>82579044.766063631</v>
      </c>
      <c r="G33" s="25"/>
      <c r="H33" s="25">
        <f>H25-H31</f>
        <v>53571603.490271255</v>
      </c>
      <c r="I33" s="25"/>
      <c r="J33" s="25">
        <f>J25-J31</f>
        <v>17833298.761442371</v>
      </c>
      <c r="K33" s="25"/>
      <c r="L33" s="25">
        <f>L25-L31</f>
        <v>19435275.639846575</v>
      </c>
      <c r="M33" s="25"/>
      <c r="N33" s="25">
        <f>N25-N31</f>
        <v>16315977</v>
      </c>
      <c r="O33" s="25"/>
      <c r="P33" s="25">
        <f t="shared" ref="P33" si="6">P25-P31</f>
        <v>6674432</v>
      </c>
      <c r="Q33" s="11">
        <f t="shared" si="0"/>
        <v>0</v>
      </c>
      <c r="R33" s="11"/>
      <c r="S33" s="11"/>
      <c r="T33" s="11"/>
    </row>
    <row r="34" spans="1:20">
      <c r="A34" s="34"/>
      <c r="B34" s="34"/>
      <c r="C34" s="34"/>
      <c r="D34" s="25"/>
      <c r="E34" s="25"/>
      <c r="F34" s="25"/>
      <c r="G34" s="25"/>
      <c r="H34" s="25"/>
      <c r="I34" s="25"/>
      <c r="J34" s="25"/>
      <c r="K34" s="25"/>
      <c r="L34" s="25"/>
      <c r="M34" s="204"/>
      <c r="N34" s="25"/>
      <c r="O34" s="25"/>
      <c r="P34" s="25"/>
      <c r="Q34" s="11">
        <f t="shared" si="0"/>
        <v>0</v>
      </c>
      <c r="R34" s="11"/>
      <c r="S34" s="11"/>
      <c r="T34" s="11"/>
    </row>
    <row r="35" spans="1:20">
      <c r="A35" s="34" t="s">
        <v>32</v>
      </c>
      <c r="B35" s="34"/>
      <c r="C35" s="34"/>
      <c r="D35" s="25"/>
      <c r="E35" s="25"/>
      <c r="F35" s="25"/>
      <c r="G35" s="25"/>
      <c r="H35" s="25"/>
      <c r="I35" s="25"/>
      <c r="J35" s="25"/>
      <c r="K35" s="25"/>
      <c r="L35" s="25"/>
      <c r="M35" s="204"/>
      <c r="N35" s="25"/>
      <c r="O35" s="25"/>
      <c r="P35" s="25"/>
      <c r="Q35" s="11">
        <f t="shared" si="0"/>
        <v>0</v>
      </c>
      <c r="R35" s="11"/>
      <c r="S35" s="11"/>
      <c r="T35" s="11"/>
    </row>
    <row r="36" spans="1:20">
      <c r="A36" s="34" t="s">
        <v>33</v>
      </c>
      <c r="B36" s="34"/>
      <c r="C36" s="34"/>
      <c r="D36" s="25">
        <f>SUM(F36:P36)</f>
        <v>2363572323</v>
      </c>
      <c r="E36" s="25"/>
      <c r="F36" s="25">
        <f>+Alloc!K372+Alloc!W372</f>
        <v>1462896734</v>
      </c>
      <c r="G36" s="25"/>
      <c r="H36" s="25">
        <f>+Alloc!M372+Alloc!Y372</f>
        <v>537585480</v>
      </c>
      <c r="I36" s="25"/>
      <c r="J36" s="25">
        <f>+Alloc!O372+Alloc!AA372</f>
        <v>116116070</v>
      </c>
      <c r="K36" s="25"/>
      <c r="L36" s="25">
        <f>+Alloc!Q372+Alloc!AC372</f>
        <v>110340106</v>
      </c>
      <c r="M36" s="25"/>
      <c r="N36" s="25">
        <f>+Alloc!S372+Alloc!AE372</f>
        <v>88369934</v>
      </c>
      <c r="O36" s="25"/>
      <c r="P36" s="25">
        <f>+Alloc!U372+Alloc!AG372</f>
        <v>48263999</v>
      </c>
      <c r="Q36" s="11">
        <f t="shared" si="0"/>
        <v>0</v>
      </c>
      <c r="R36" s="11"/>
      <c r="S36" s="11"/>
      <c r="T36" s="11"/>
    </row>
    <row r="37" spans="1:20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44"/>
      <c r="N37" s="34"/>
      <c r="O37" s="34"/>
      <c r="P37" s="34"/>
      <c r="Q37" s="11"/>
      <c r="R37" s="11"/>
      <c r="S37" s="11"/>
      <c r="T37" s="11"/>
    </row>
    <row r="38" spans="1:20">
      <c r="A38" s="34" t="s">
        <v>34</v>
      </c>
      <c r="B38" s="34"/>
      <c r="C38" s="34"/>
      <c r="D38" s="76">
        <f>D33/D36</f>
        <v>8.3098634108360173E-2</v>
      </c>
      <c r="E38" s="34"/>
      <c r="F38" s="76">
        <f>F33/F36</f>
        <v>5.644899113300203E-2</v>
      </c>
      <c r="G38" s="34"/>
      <c r="H38" s="76">
        <f>H33/H36</f>
        <v>9.9652251564293096E-2</v>
      </c>
      <c r="I38" s="34"/>
      <c r="J38" s="76">
        <f>J33/J36</f>
        <v>0.15358165981196548</v>
      </c>
      <c r="K38" s="34"/>
      <c r="L38" s="76">
        <f>L33/L36</f>
        <v>0.17613972239474351</v>
      </c>
      <c r="M38" s="205"/>
      <c r="N38" s="76">
        <f>N33/N36</f>
        <v>0.18463267155999008</v>
      </c>
      <c r="O38" s="76"/>
      <c r="P38" s="76">
        <f t="shared" ref="P38" si="7">P33/P36</f>
        <v>0.13829007413994021</v>
      </c>
      <c r="Q38" s="11"/>
      <c r="R38" s="11"/>
      <c r="S38" s="11"/>
      <c r="T38" s="11"/>
    </row>
    <row r="39" spans="1:20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144"/>
      <c r="N39" s="34"/>
      <c r="O39" s="34"/>
      <c r="P39" s="34"/>
      <c r="Q39" s="11"/>
      <c r="R39" s="11"/>
      <c r="S39" s="11"/>
      <c r="T39" s="11"/>
    </row>
    <row r="40" spans="1:20">
      <c r="A40" s="34" t="s">
        <v>35</v>
      </c>
      <c r="B40" s="34"/>
      <c r="C40" s="34"/>
      <c r="D40" s="77">
        <f>D38/$D$38</f>
        <v>1</v>
      </c>
      <c r="E40" s="34"/>
      <c r="F40" s="77">
        <f>F38/$D$38</f>
        <v>0.67930107081414659</v>
      </c>
      <c r="G40" s="34"/>
      <c r="H40" s="77">
        <f>H38/$D$38</f>
        <v>1.1992044470231256</v>
      </c>
      <c r="I40" s="34"/>
      <c r="J40" s="77">
        <f>J38/$D$38</f>
        <v>1.8481851291526141</v>
      </c>
      <c r="K40" s="34"/>
      <c r="L40" s="77">
        <f>L38/$D$38</f>
        <v>2.1196464212042074</v>
      </c>
      <c r="M40" s="206"/>
      <c r="N40" s="77">
        <f>N38/$D$38</f>
        <v>2.2218496554255038</v>
      </c>
      <c r="O40" s="77"/>
      <c r="P40" s="77">
        <f>P38/$D$38</f>
        <v>1.664167836496695</v>
      </c>
      <c r="Q40" s="11"/>
      <c r="R40" s="11"/>
      <c r="S40" s="11"/>
      <c r="T40" s="11"/>
    </row>
    <row r="41" spans="1:20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44"/>
      <c r="N41" s="34"/>
      <c r="O41" s="34"/>
      <c r="P41" s="34"/>
      <c r="Q41" s="11"/>
      <c r="R41" s="11"/>
      <c r="S41" s="11"/>
      <c r="T41" s="11"/>
    </row>
    <row r="42" spans="1:20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44"/>
      <c r="N42" s="34"/>
      <c r="O42" s="34"/>
      <c r="P42" s="34"/>
      <c r="Q42" s="11"/>
      <c r="R42" s="11"/>
      <c r="S42" s="11"/>
      <c r="T42" s="11"/>
    </row>
    <row r="43" spans="1:20">
      <c r="A43" s="75" t="s">
        <v>36</v>
      </c>
      <c r="B43" s="34"/>
      <c r="C43" s="34"/>
      <c r="D43" s="34"/>
      <c r="E43" s="34"/>
      <c r="F43" s="78">
        <f>ROUND(+F36/$D36,4)+0.0001</f>
        <v>0.61899999999999999</v>
      </c>
      <c r="G43" s="34"/>
      <c r="H43" s="78">
        <f>ROUND(+H36/$D36,4)</f>
        <v>0.22739999999999999</v>
      </c>
      <c r="I43" s="34"/>
      <c r="J43" s="78">
        <f>ROUND(+J36/$D36,4)</f>
        <v>4.9099999999999998E-2</v>
      </c>
      <c r="K43" s="34"/>
      <c r="L43" s="78">
        <f>ROUND(+L36/$D36,4)</f>
        <v>4.6699999999999998E-2</v>
      </c>
      <c r="M43" s="34"/>
      <c r="N43" s="78">
        <f>ROUND(+N36/$D36,4)</f>
        <v>3.7400000000000003E-2</v>
      </c>
      <c r="O43" s="78">
        <f t="shared" ref="O43" si="8">ROUND(+O36/$D36,4)</f>
        <v>0</v>
      </c>
      <c r="P43" s="78">
        <f t="shared" ref="P43" si="9">ROUND(+P36/$D36,4)</f>
        <v>2.0400000000000001E-2</v>
      </c>
      <c r="Q43" s="74">
        <f>SUM(F43:P43)</f>
        <v>1</v>
      </c>
      <c r="R43" s="11"/>
      <c r="S43" s="11"/>
      <c r="T43" s="11"/>
    </row>
    <row r="44" spans="1:20">
      <c r="A44" s="75" t="s">
        <v>37</v>
      </c>
      <c r="B44" s="34"/>
      <c r="C44" s="34"/>
      <c r="D44" s="34"/>
      <c r="E44" s="34"/>
      <c r="F44" s="78">
        <f>ROUND(+F29/$D29,4)-0.0001</f>
        <v>0.35150000000000003</v>
      </c>
      <c r="G44" s="34"/>
      <c r="H44" s="79">
        <f>ROUND(+H29/$D29,4)</f>
        <v>0.28849999999999998</v>
      </c>
      <c r="I44" s="34"/>
      <c r="J44" s="78">
        <f>ROUND(+J29/$D29,4)</f>
        <v>0.1053</v>
      </c>
      <c r="K44" s="34"/>
      <c r="L44" s="78">
        <f>ROUND(+L29/$D29,4)</f>
        <v>0.1171</v>
      </c>
      <c r="M44" s="34"/>
      <c r="N44" s="78">
        <f>ROUND(+N29/$D29,4)</f>
        <v>9.8900000000000002E-2</v>
      </c>
      <c r="O44" s="78">
        <f t="shared" ref="O44" si="10">ROUND(+O29/$D29,4)</f>
        <v>0</v>
      </c>
      <c r="P44" s="78">
        <f t="shared" ref="P44" si="11">ROUND(+P29/$D29,4)</f>
        <v>3.8699999999999998E-2</v>
      </c>
      <c r="Q44" s="74">
        <f>SUM(F44:P44)</f>
        <v>1</v>
      </c>
      <c r="R44" s="11"/>
      <c r="S44" s="11"/>
      <c r="T44" s="11"/>
    </row>
    <row r="45" spans="1:20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144"/>
      <c r="N45" s="34"/>
      <c r="O45" s="34"/>
      <c r="P45" s="34"/>
      <c r="Q45" s="11"/>
      <c r="R45" s="11"/>
      <c r="S45" s="11"/>
      <c r="T45" s="11"/>
    </row>
    <row r="46" spans="1:20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2"/>
      <c r="N46" s="11"/>
      <c r="O46" s="11"/>
      <c r="P46" s="11"/>
      <c r="Q46" s="11"/>
      <c r="R46" s="11"/>
      <c r="S46" s="11"/>
      <c r="T46" s="11"/>
    </row>
    <row r="47" spans="1:20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2"/>
      <c r="N47" s="11"/>
      <c r="O47" s="11"/>
      <c r="P47" s="11"/>
      <c r="Q47" s="11"/>
      <c r="R47" s="11"/>
      <c r="S47" s="11"/>
      <c r="T47" s="11"/>
    </row>
    <row r="48" spans="1:20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2"/>
      <c r="N48" s="11"/>
      <c r="O48" s="11"/>
      <c r="P48" s="11"/>
      <c r="Q48" s="11"/>
      <c r="R48" s="11"/>
      <c r="S48" s="11"/>
      <c r="T48" s="11"/>
    </row>
    <row r="49" spans="1:20">
      <c r="A49" s="11" t="s">
        <v>279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2"/>
      <c r="N49" s="11"/>
      <c r="O49" s="11"/>
      <c r="P49" s="11"/>
      <c r="Q49" s="11"/>
      <c r="R49" s="11"/>
      <c r="S49" s="11"/>
      <c r="T49" s="11"/>
    </row>
    <row r="50" spans="1:20">
      <c r="A50" s="52">
        <f ca="1">NOW()</f>
        <v>43487.422283449072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2"/>
      <c r="N50" s="11"/>
      <c r="O50" s="11"/>
      <c r="P50" s="1048" t="s">
        <v>837</v>
      </c>
      <c r="Q50" s="11"/>
      <c r="R50" s="11"/>
      <c r="S50" s="11"/>
      <c r="T50" s="11"/>
    </row>
    <row r="51" spans="1:20" ht="15.75">
      <c r="A51" s="92" t="str">
        <f>IF($C$2=2,"make sure cell C2 = 1 for Present ROR", "OK")</f>
        <v>make sure cell C2 = 1 for Present ROR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2"/>
      <c r="N51" s="11"/>
      <c r="O51" s="11"/>
      <c r="P51" s="11"/>
      <c r="Q51" s="11"/>
      <c r="R51" s="11"/>
      <c r="S51" s="11"/>
      <c r="T51" s="11"/>
    </row>
    <row r="52" spans="1:20">
      <c r="A52" s="55" t="s">
        <v>802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197"/>
      <c r="N52" s="54"/>
      <c r="O52" s="54"/>
      <c r="P52" s="54"/>
      <c r="Q52" s="11"/>
      <c r="R52" s="11"/>
      <c r="S52" s="11"/>
      <c r="T52" s="11"/>
    </row>
    <row r="53" spans="1:20" ht="15.75">
      <c r="A53" s="95"/>
      <c r="B53" s="54"/>
      <c r="C53" s="54"/>
      <c r="D53" s="54"/>
      <c r="E53" s="54"/>
      <c r="F53" s="54"/>
      <c r="G53" s="54"/>
      <c r="H53" s="54"/>
      <c r="I53" s="54"/>
      <c r="J53" s="54"/>
      <c r="K53" s="94"/>
      <c r="L53" s="54"/>
      <c r="M53" s="197"/>
      <c r="N53" s="54"/>
      <c r="O53" s="54"/>
      <c r="P53" s="54"/>
      <c r="Q53" s="11"/>
      <c r="R53" s="11"/>
      <c r="S53" s="11"/>
      <c r="T53" s="11"/>
    </row>
    <row r="54" spans="1:20">
      <c r="A54" s="55" t="s">
        <v>20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96"/>
      <c r="N54" s="55"/>
      <c r="O54" s="55"/>
      <c r="P54" s="55"/>
      <c r="Q54" s="11"/>
      <c r="R54" s="11"/>
      <c r="S54" s="11"/>
      <c r="T54" s="11"/>
    </row>
    <row r="55" spans="1:20">
      <c r="A55" s="55" t="s">
        <v>18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96"/>
      <c r="N55" s="55"/>
      <c r="O55" s="55"/>
      <c r="P55" s="55"/>
      <c r="Q55" s="11"/>
      <c r="R55" s="11"/>
      <c r="S55" s="11"/>
      <c r="T55" s="11"/>
    </row>
    <row r="56" spans="1:20">
      <c r="A56" s="23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96"/>
      <c r="N56" s="55"/>
      <c r="O56" s="55"/>
      <c r="P56" s="55"/>
      <c r="Q56" s="11"/>
      <c r="R56" s="11"/>
      <c r="S56" s="11"/>
      <c r="T56" s="11"/>
    </row>
    <row r="57" spans="1:20">
      <c r="A57" s="34"/>
      <c r="B57" s="34"/>
      <c r="C57" s="34"/>
      <c r="D57" s="34"/>
      <c r="E57" s="34"/>
      <c r="F57" s="34"/>
      <c r="G57" s="34"/>
      <c r="H57" s="60"/>
      <c r="I57" s="34"/>
      <c r="J57" s="60"/>
      <c r="K57" s="34"/>
      <c r="L57" s="60"/>
      <c r="M57" s="130"/>
      <c r="N57" s="60"/>
      <c r="O57" s="417"/>
      <c r="P57" s="401"/>
      <c r="Q57" s="11"/>
      <c r="R57" s="11"/>
      <c r="S57" s="11"/>
      <c r="T57" s="11"/>
    </row>
    <row r="58" spans="1:20">
      <c r="A58" s="34"/>
      <c r="B58" s="34"/>
      <c r="C58" s="34"/>
      <c r="D58" s="60" t="s">
        <v>215</v>
      </c>
      <c r="E58" s="34"/>
      <c r="F58" s="60"/>
      <c r="G58" s="34"/>
      <c r="H58" s="60"/>
      <c r="I58" s="34"/>
      <c r="J58" s="60"/>
      <c r="K58" s="34"/>
      <c r="L58" s="60"/>
      <c r="M58" s="130"/>
      <c r="N58" s="60"/>
      <c r="O58" s="417"/>
      <c r="P58" s="401"/>
      <c r="Q58" s="11"/>
      <c r="R58" s="11"/>
      <c r="S58" s="11"/>
      <c r="T58" s="11"/>
    </row>
    <row r="59" spans="1:20">
      <c r="A59" s="55" t="s">
        <v>22</v>
      </c>
      <c r="B59" s="55"/>
      <c r="C59" s="34"/>
      <c r="D59" s="60" t="s">
        <v>171</v>
      </c>
      <c r="E59" s="34"/>
      <c r="F59" s="60" t="s">
        <v>318</v>
      </c>
      <c r="G59" s="34"/>
      <c r="H59" s="60" t="s">
        <v>314</v>
      </c>
      <c r="I59" s="34"/>
      <c r="J59" s="60" t="s">
        <v>315</v>
      </c>
      <c r="K59" s="34"/>
      <c r="L59" s="60" t="s">
        <v>316</v>
      </c>
      <c r="M59" s="130"/>
      <c r="N59" s="60" t="s">
        <v>462</v>
      </c>
      <c r="O59" s="417"/>
      <c r="P59" s="462" t="s">
        <v>424</v>
      </c>
      <c r="Q59" s="11"/>
      <c r="R59" s="11"/>
      <c r="S59" s="11"/>
      <c r="T59" s="11"/>
    </row>
    <row r="60" spans="1:20">
      <c r="A60" s="56" t="s">
        <v>173</v>
      </c>
      <c r="B60" s="56"/>
      <c r="C60" s="34"/>
      <c r="D60" s="59" t="s">
        <v>181</v>
      </c>
      <c r="E60" s="34"/>
      <c r="F60" s="59" t="s">
        <v>194</v>
      </c>
      <c r="G60" s="34"/>
      <c r="H60" s="59" t="s">
        <v>190</v>
      </c>
      <c r="I60" s="34"/>
      <c r="J60" s="59" t="s">
        <v>201</v>
      </c>
      <c r="K60" s="34"/>
      <c r="L60" s="59" t="s">
        <v>197</v>
      </c>
      <c r="M60" s="130"/>
      <c r="N60" s="82">
        <f>+L60-1</f>
        <v>-7</v>
      </c>
      <c r="O60" s="402"/>
      <c r="P60" s="82">
        <v>-8</v>
      </c>
      <c r="Q60" s="11"/>
      <c r="R60" s="11"/>
      <c r="S60" s="11"/>
      <c r="T60" s="11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44"/>
      <c r="N61" s="34"/>
      <c r="O61" s="34"/>
      <c r="P61" s="34"/>
      <c r="Q61" s="11"/>
      <c r="R61" s="11"/>
      <c r="S61" s="11"/>
      <c r="T61" s="11"/>
    </row>
    <row r="62" spans="1:20">
      <c r="A62" s="34" t="s">
        <v>151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144"/>
      <c r="N62" s="34"/>
      <c r="O62" s="34"/>
      <c r="P62" s="34"/>
      <c r="Q62" s="11"/>
      <c r="R62" s="11"/>
      <c r="S62" s="11"/>
      <c r="T62" s="11"/>
    </row>
    <row r="63" spans="1:20">
      <c r="A63" s="34" t="s">
        <v>23</v>
      </c>
      <c r="B63" s="34"/>
      <c r="C63" s="34"/>
      <c r="D63" s="312">
        <f>SUM(F63:P63)</f>
        <v>528116687.06378078</v>
      </c>
      <c r="E63" s="312"/>
      <c r="F63" s="312">
        <f>+Sched.A!H16</f>
        <v>290378177.75920331</v>
      </c>
      <c r="G63" s="312"/>
      <c r="H63" s="312">
        <f>+Sched.A!H18</f>
        <v>119324783.20276858</v>
      </c>
      <c r="I63" s="312"/>
      <c r="J63" s="312">
        <f>+Sched.A!H20</f>
        <v>34184844.208332017</v>
      </c>
      <c r="K63" s="312"/>
      <c r="L63" s="312">
        <f>+Sched.A!H22</f>
        <v>35824069.157901995</v>
      </c>
      <c r="M63" s="312"/>
      <c r="N63" s="312">
        <f>+Sched.A!H24</f>
        <v>33397805.938540325</v>
      </c>
      <c r="O63" s="312"/>
      <c r="P63" s="312">
        <f>+Sched.A!H26</f>
        <v>15007006.79703456</v>
      </c>
      <c r="Q63" s="11">
        <f t="shared" ref="Q63:Q81" si="12">SUM(F63:P63)-D63</f>
        <v>0</v>
      </c>
      <c r="R63" s="11"/>
      <c r="S63" s="11"/>
      <c r="T63" s="11"/>
    </row>
    <row r="64" spans="1:20">
      <c r="A64" s="34" t="s">
        <v>24</v>
      </c>
      <c r="B64" s="34"/>
      <c r="C64" s="34"/>
      <c r="D64" s="229">
        <f>SUM(F64:P64)</f>
        <v>5880007</v>
      </c>
      <c r="E64" s="229"/>
      <c r="F64" s="403">
        <f>+F19</f>
        <v>3920360</v>
      </c>
      <c r="G64" s="229"/>
      <c r="H64" s="403">
        <f>+H19</f>
        <v>1538146</v>
      </c>
      <c r="I64" s="229"/>
      <c r="J64" s="403">
        <f>+J19</f>
        <v>327287</v>
      </c>
      <c r="K64" s="229"/>
      <c r="L64" s="403">
        <f>+L19</f>
        <v>37269</v>
      </c>
      <c r="M64" s="229"/>
      <c r="N64" s="403">
        <f>+N19</f>
        <v>37661</v>
      </c>
      <c r="O64" s="403"/>
      <c r="P64" s="404">
        <f>+P19</f>
        <v>19284</v>
      </c>
      <c r="Q64" s="11">
        <f t="shared" si="12"/>
        <v>0</v>
      </c>
      <c r="R64" s="11"/>
      <c r="S64" s="11"/>
      <c r="T64" s="11"/>
    </row>
    <row r="65" spans="1:20">
      <c r="A65" s="34"/>
      <c r="B65" s="34"/>
      <c r="C65" s="34"/>
      <c r="D65" s="405"/>
      <c r="E65" s="229"/>
      <c r="F65" s="405"/>
      <c r="G65" s="229"/>
      <c r="H65" s="405"/>
      <c r="I65" s="229"/>
      <c r="J65" s="405"/>
      <c r="K65" s="229"/>
      <c r="L65" s="405"/>
      <c r="M65" s="406"/>
      <c r="N65" s="405"/>
      <c r="O65" s="406"/>
      <c r="P65" s="406"/>
      <c r="Q65" s="11">
        <f t="shared" si="12"/>
        <v>0</v>
      </c>
      <c r="R65" s="11"/>
      <c r="S65" s="11"/>
      <c r="T65" s="11"/>
    </row>
    <row r="66" spans="1:20">
      <c r="A66" s="34" t="s">
        <v>25</v>
      </c>
      <c r="B66" s="34"/>
      <c r="C66" s="34"/>
      <c r="D66" s="229">
        <f>D64+D63</f>
        <v>533996694.06378078</v>
      </c>
      <c r="E66" s="229"/>
      <c r="F66" s="229">
        <f>F64+F63</f>
        <v>294298537.75920331</v>
      </c>
      <c r="G66" s="229"/>
      <c r="H66" s="229">
        <f>H64+H63</f>
        <v>120862929.20276858</v>
      </c>
      <c r="I66" s="229"/>
      <c r="J66" s="229">
        <f>J64+J63</f>
        <v>34512131.208332017</v>
      </c>
      <c r="K66" s="229"/>
      <c r="L66" s="229">
        <f>L64+L63</f>
        <v>35861338.157901995</v>
      </c>
      <c r="M66" s="229"/>
      <c r="N66" s="229">
        <f>N64+N63</f>
        <v>33435466.938540325</v>
      </c>
      <c r="O66" s="229"/>
      <c r="P66" s="229">
        <f t="shared" ref="P66" si="13">P64+P63</f>
        <v>15026290.79703456</v>
      </c>
      <c r="Q66" s="11">
        <f t="shared" si="12"/>
        <v>0</v>
      </c>
      <c r="R66" s="11"/>
      <c r="S66" s="11"/>
      <c r="T66" s="11"/>
    </row>
    <row r="67" spans="1:20">
      <c r="A67" s="34"/>
      <c r="B67" s="34"/>
      <c r="C67" s="34"/>
      <c r="D67" s="229"/>
      <c r="E67" s="229"/>
      <c r="F67" s="229"/>
      <c r="G67" s="229"/>
      <c r="H67" s="229"/>
      <c r="I67" s="229"/>
      <c r="J67" s="229"/>
      <c r="K67" s="229"/>
      <c r="L67" s="229"/>
      <c r="M67" s="406"/>
      <c r="N67" s="229"/>
      <c r="O67" s="229"/>
      <c r="P67" s="229"/>
      <c r="Q67" s="11">
        <f t="shared" si="12"/>
        <v>0</v>
      </c>
      <c r="R67" s="11"/>
      <c r="S67" s="11"/>
      <c r="T67" s="11"/>
    </row>
    <row r="68" spans="1:20">
      <c r="A68" s="34" t="s">
        <v>26</v>
      </c>
      <c r="B68" s="34"/>
      <c r="C68" s="34"/>
      <c r="D68" s="229">
        <f>SUM(F68:P68)</f>
        <v>364580322.99128175</v>
      </c>
      <c r="E68" s="229"/>
      <c r="F68" s="229">
        <f>+Alloc!K$244+Alloc!W$244</f>
        <v>250771113.64238232</v>
      </c>
      <c r="G68" s="229"/>
      <c r="H68" s="229">
        <f>+H23</f>
        <v>68360690.959779516</v>
      </c>
      <c r="I68" s="229"/>
      <c r="J68" s="229">
        <f>+J23</f>
        <v>13326770.203821175</v>
      </c>
      <c r="K68" s="229"/>
      <c r="L68" s="229">
        <f>+L23</f>
        <v>11865557.185298745</v>
      </c>
      <c r="M68" s="229"/>
      <c r="N68" s="229">
        <f>+N23</f>
        <v>13710861</v>
      </c>
      <c r="O68" s="229"/>
      <c r="P68" s="229">
        <f>+P23</f>
        <v>6545330</v>
      </c>
      <c r="Q68" s="11">
        <f t="shared" si="12"/>
        <v>0</v>
      </c>
      <c r="R68" s="11"/>
      <c r="S68" s="11"/>
      <c r="T68" s="11"/>
    </row>
    <row r="69" spans="1:20">
      <c r="A69" s="34"/>
      <c r="B69" s="34"/>
      <c r="C69" s="34"/>
      <c r="D69" s="405"/>
      <c r="E69" s="229"/>
      <c r="F69" s="405"/>
      <c r="G69" s="229"/>
      <c r="H69" s="405"/>
      <c r="I69" s="229"/>
      <c r="J69" s="405"/>
      <c r="K69" s="229"/>
      <c r="L69" s="405"/>
      <c r="M69" s="406"/>
      <c r="N69" s="405"/>
      <c r="O69" s="405"/>
      <c r="P69" s="405"/>
      <c r="Q69" s="11">
        <f t="shared" si="12"/>
        <v>0</v>
      </c>
      <c r="R69" s="11"/>
      <c r="S69" s="11"/>
      <c r="T69" s="11"/>
    </row>
    <row r="70" spans="1:20">
      <c r="A70" s="34" t="s">
        <v>27</v>
      </c>
      <c r="B70" s="34"/>
      <c r="C70" s="34"/>
      <c r="D70" s="229">
        <f>D66-D68</f>
        <v>169416371.07249904</v>
      </c>
      <c r="E70" s="229"/>
      <c r="F70" s="229">
        <f>F66-F68</f>
        <v>43527424.116820991</v>
      </c>
      <c r="G70" s="229"/>
      <c r="H70" s="229">
        <f>H66-H68</f>
        <v>52502238.242989063</v>
      </c>
      <c r="I70" s="229"/>
      <c r="J70" s="229">
        <f>J66-J68</f>
        <v>21185361.004510842</v>
      </c>
      <c r="K70" s="229"/>
      <c r="L70" s="229">
        <f>L66-L68</f>
        <v>23995780.97260325</v>
      </c>
      <c r="M70" s="229"/>
      <c r="N70" s="229">
        <f>N66-N68</f>
        <v>19724605.938540325</v>
      </c>
      <c r="O70" s="229"/>
      <c r="P70" s="229">
        <f t="shared" ref="P70" si="14">P66-P68</f>
        <v>8480960.7970345598</v>
      </c>
      <c r="Q70" s="11">
        <f t="shared" si="12"/>
        <v>0</v>
      </c>
      <c r="R70" s="11"/>
      <c r="S70" s="11"/>
      <c r="T70" s="11"/>
    </row>
    <row r="71" spans="1:20">
      <c r="A71" s="34"/>
      <c r="B71" s="34"/>
      <c r="C71" s="34"/>
      <c r="D71" s="229"/>
      <c r="E71" s="229"/>
      <c r="F71" s="229"/>
      <c r="G71" s="229"/>
      <c r="H71" s="229"/>
      <c r="I71" s="229"/>
      <c r="J71" s="229"/>
      <c r="K71" s="229"/>
      <c r="L71" s="229"/>
      <c r="M71" s="406"/>
      <c r="N71" s="229"/>
      <c r="O71" s="229"/>
      <c r="P71" s="229"/>
      <c r="Q71" s="11">
        <f t="shared" si="12"/>
        <v>0</v>
      </c>
      <c r="R71" s="11"/>
      <c r="S71" s="11"/>
      <c r="T71" s="11"/>
    </row>
    <row r="72" spans="1:20">
      <c r="A72" s="34" t="s">
        <v>28</v>
      </c>
      <c r="B72" s="34"/>
      <c r="C72" s="34"/>
      <c r="D72" s="229">
        <f>D27</f>
        <v>50580000</v>
      </c>
      <c r="E72" s="229"/>
      <c r="F72" s="229">
        <f>ROUND(F88*$D72,0)</f>
        <v>31303962</v>
      </c>
      <c r="G72" s="229"/>
      <c r="H72" s="229">
        <f>ROUND(H88*$D72,0)</f>
        <v>11501892</v>
      </c>
      <c r="I72" s="229"/>
      <c r="J72" s="229">
        <f>ROUND(J88*$D72,0)</f>
        <v>2483478</v>
      </c>
      <c r="K72" s="229"/>
      <c r="L72" s="229">
        <f>ROUND(L88*$D72,0)</f>
        <v>2362086</v>
      </c>
      <c r="M72" s="229"/>
      <c r="N72" s="229">
        <f>ROUND(N88*$D72,0)</f>
        <v>1891692</v>
      </c>
      <c r="O72" s="229"/>
      <c r="P72" s="229">
        <f t="shared" ref="P72" si="15">ROUND(P88*$D72,0)</f>
        <v>1031832</v>
      </c>
      <c r="Q72" s="11">
        <f t="shared" si="12"/>
        <v>-5058</v>
      </c>
      <c r="R72" s="11"/>
      <c r="S72" s="11"/>
      <c r="T72" s="11"/>
    </row>
    <row r="73" spans="1:20">
      <c r="A73" s="34"/>
      <c r="B73" s="34"/>
      <c r="C73" s="34"/>
      <c r="D73" s="405"/>
      <c r="E73" s="229"/>
      <c r="F73" s="405"/>
      <c r="G73" s="229"/>
      <c r="H73" s="405"/>
      <c r="I73" s="229"/>
      <c r="J73" s="405"/>
      <c r="K73" s="229"/>
      <c r="L73" s="405"/>
      <c r="M73" s="406"/>
      <c r="N73" s="405"/>
      <c r="O73" s="405"/>
      <c r="P73" s="405"/>
      <c r="Q73" s="11">
        <f t="shared" si="12"/>
        <v>0</v>
      </c>
      <c r="R73" s="11"/>
      <c r="S73" s="11"/>
      <c r="T73" s="11"/>
    </row>
    <row r="74" spans="1:20">
      <c r="A74" s="34" t="s">
        <v>29</v>
      </c>
      <c r="B74" s="34"/>
      <c r="C74" s="34"/>
      <c r="D74" s="229">
        <f>D70-D72</f>
        <v>118836371.07249904</v>
      </c>
      <c r="E74" s="229"/>
      <c r="F74" s="229">
        <f>F70-F72</f>
        <v>12223462.116820991</v>
      </c>
      <c r="G74" s="229"/>
      <c r="H74" s="229">
        <f>H70-H72</f>
        <v>41000346.242989063</v>
      </c>
      <c r="I74" s="229"/>
      <c r="J74" s="229">
        <f>J70-J72</f>
        <v>18701883.004510842</v>
      </c>
      <c r="K74" s="229"/>
      <c r="L74" s="229">
        <f>L70-L72</f>
        <v>21633694.97260325</v>
      </c>
      <c r="M74" s="229"/>
      <c r="N74" s="229">
        <f>N70-N72</f>
        <v>17832913.938540325</v>
      </c>
      <c r="O74" s="229"/>
      <c r="P74" s="229">
        <f t="shared" ref="P74" si="16">P70-P72</f>
        <v>7449128.7970345598</v>
      </c>
      <c r="Q74" s="11">
        <f t="shared" si="12"/>
        <v>5058</v>
      </c>
      <c r="R74" s="11"/>
      <c r="S74" s="11"/>
      <c r="T74" s="11"/>
    </row>
    <row r="75" spans="1:20">
      <c r="A75" s="34"/>
      <c r="B75" s="34"/>
      <c r="C75" s="34"/>
      <c r="D75" s="229"/>
      <c r="E75" s="229"/>
      <c r="F75" s="229"/>
      <c r="G75" s="229"/>
      <c r="H75" s="229"/>
      <c r="I75" s="229"/>
      <c r="J75" s="229"/>
      <c r="K75" s="229"/>
      <c r="L75" s="229"/>
      <c r="M75" s="406"/>
      <c r="N75" s="229"/>
      <c r="O75" s="229"/>
      <c r="P75" s="229"/>
      <c r="Q75" s="11">
        <f t="shared" si="12"/>
        <v>0</v>
      </c>
      <c r="R75" s="11"/>
      <c r="S75" s="11"/>
      <c r="T75" s="11"/>
    </row>
    <row r="76" spans="1:20">
      <c r="A76" s="34" t="s">
        <v>30</v>
      </c>
      <c r="B76" s="34"/>
      <c r="C76" s="34"/>
      <c r="D76" s="229">
        <f>+Alloc!A246*1000</f>
        <v>23831789.5609072</v>
      </c>
      <c r="E76" s="229"/>
      <c r="F76" s="403">
        <f>ROUND(+F89*$D76,0)</f>
        <v>2449908</v>
      </c>
      <c r="G76" s="229"/>
      <c r="H76" s="229">
        <f>ROUND(+H89*$D76,0)</f>
        <v>8221967</v>
      </c>
      <c r="I76" s="229"/>
      <c r="J76" s="229">
        <f>ROUND(+J89*$D76,0)</f>
        <v>3751124</v>
      </c>
      <c r="K76" s="229"/>
      <c r="L76" s="229">
        <f>ROUND(+L89*$D76,0)</f>
        <v>4337386</v>
      </c>
      <c r="M76" s="229"/>
      <c r="N76" s="229">
        <f>ROUND(+N89*$D76,0)</f>
        <v>3577152</v>
      </c>
      <c r="O76" s="229"/>
      <c r="P76" s="229">
        <f t="shared" ref="P76" si="17">ROUND(+P89*$D76,0)</f>
        <v>1494253</v>
      </c>
      <c r="Q76" s="11">
        <f t="shared" si="12"/>
        <v>0.43909280002117157</v>
      </c>
      <c r="R76" s="11"/>
      <c r="S76" s="11"/>
      <c r="T76" s="11"/>
    </row>
    <row r="77" spans="1:20">
      <c r="A77" s="34"/>
      <c r="B77" s="34"/>
      <c r="C77" s="34"/>
      <c r="D77" s="229"/>
      <c r="E77" s="229"/>
      <c r="F77" s="229"/>
      <c r="G77" s="229"/>
      <c r="H77" s="229"/>
      <c r="I77" s="229"/>
      <c r="J77" s="229"/>
      <c r="K77" s="229"/>
      <c r="L77" s="229"/>
      <c r="M77" s="406"/>
      <c r="N77" s="229"/>
      <c r="O77" s="229"/>
      <c r="P77" s="229"/>
      <c r="Q77" s="11">
        <f t="shared" si="12"/>
        <v>0</v>
      </c>
      <c r="R77" s="11"/>
      <c r="S77" s="11"/>
      <c r="T77" s="11"/>
    </row>
    <row r="78" spans="1:20">
      <c r="A78" s="34" t="s">
        <v>31</v>
      </c>
      <c r="B78" s="34"/>
      <c r="C78" s="34"/>
      <c r="D78" s="229">
        <f>D70-D76</f>
        <v>145584581.51159185</v>
      </c>
      <c r="E78" s="229"/>
      <c r="F78" s="229">
        <f>F70-F76</f>
        <v>41077516.116820991</v>
      </c>
      <c r="G78" s="229"/>
      <c r="H78" s="229">
        <f>H70-H76</f>
        <v>44280271.242989063</v>
      </c>
      <c r="I78" s="229"/>
      <c r="J78" s="229">
        <f>J70-J76</f>
        <v>17434237.004510842</v>
      </c>
      <c r="K78" s="229"/>
      <c r="L78" s="229">
        <f>L70-L76</f>
        <v>19658394.97260325</v>
      </c>
      <c r="M78" s="229"/>
      <c r="N78" s="229">
        <f>N70-N76</f>
        <v>16147453.938540325</v>
      </c>
      <c r="O78" s="229"/>
      <c r="P78" s="229">
        <f t="shared" ref="P78" si="18">P70-P76</f>
        <v>6986707.7970345598</v>
      </c>
      <c r="Q78" s="11">
        <f t="shared" si="12"/>
        <v>-0.43909281492233276</v>
      </c>
      <c r="R78" s="11"/>
      <c r="S78" s="11"/>
      <c r="T78" s="11"/>
    </row>
    <row r="79" spans="1:20">
      <c r="A79" s="34"/>
      <c r="B79" s="34"/>
      <c r="C79" s="34"/>
      <c r="D79" s="229"/>
      <c r="E79" s="229"/>
      <c r="F79" s="229"/>
      <c r="G79" s="229"/>
      <c r="H79" s="229"/>
      <c r="I79" s="229"/>
      <c r="J79" s="229"/>
      <c r="K79" s="229"/>
      <c r="L79" s="229"/>
      <c r="M79" s="406"/>
      <c r="N79" s="229"/>
      <c r="O79" s="229"/>
      <c r="P79" s="229"/>
      <c r="Q79" s="11">
        <f t="shared" si="12"/>
        <v>0</v>
      </c>
      <c r="R79" s="11"/>
      <c r="S79" s="11"/>
      <c r="T79" s="11"/>
    </row>
    <row r="80" spans="1:20">
      <c r="A80" s="34" t="s">
        <v>32</v>
      </c>
      <c r="B80" s="34"/>
      <c r="C80" s="34"/>
      <c r="D80" s="229"/>
      <c r="E80" s="229"/>
      <c r="F80" s="229"/>
      <c r="G80" s="229"/>
      <c r="H80" s="229"/>
      <c r="I80" s="229"/>
      <c r="J80" s="229"/>
      <c r="K80" s="229"/>
      <c r="L80" s="229"/>
      <c r="M80" s="406"/>
      <c r="N80" s="229"/>
      <c r="O80" s="229"/>
      <c r="P80" s="229"/>
      <c r="Q80" s="11">
        <f t="shared" si="12"/>
        <v>0</v>
      </c>
      <c r="R80" s="11"/>
      <c r="S80" s="11"/>
      <c r="T80" s="11"/>
    </row>
    <row r="81" spans="1:20">
      <c r="A81" s="34" t="s">
        <v>33</v>
      </c>
      <c r="B81" s="34"/>
      <c r="C81" s="34"/>
      <c r="D81" s="229">
        <f>SUM(F81:P81)</f>
        <v>2363572323</v>
      </c>
      <c r="E81" s="229"/>
      <c r="F81" s="229">
        <f>F36</f>
        <v>1462896734</v>
      </c>
      <c r="G81" s="229"/>
      <c r="H81" s="229">
        <f>H36</f>
        <v>537585480</v>
      </c>
      <c r="I81" s="229"/>
      <c r="J81" s="229">
        <f>J36</f>
        <v>116116070</v>
      </c>
      <c r="K81" s="229"/>
      <c r="L81" s="229">
        <f>L36</f>
        <v>110340106</v>
      </c>
      <c r="M81" s="229"/>
      <c r="N81" s="229">
        <f>N36</f>
        <v>88369934</v>
      </c>
      <c r="O81" s="229"/>
      <c r="P81" s="229">
        <f>P36</f>
        <v>48263999</v>
      </c>
      <c r="Q81" s="11">
        <f t="shared" si="12"/>
        <v>0</v>
      </c>
      <c r="R81" s="11"/>
      <c r="S81" s="11"/>
      <c r="T81" s="11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144"/>
      <c r="N82" s="34"/>
      <c r="O82" s="34"/>
      <c r="P82" s="34"/>
      <c r="Q82" s="11"/>
      <c r="R82" s="11"/>
      <c r="S82" s="11"/>
      <c r="T82" s="11"/>
    </row>
    <row r="83" spans="1:20">
      <c r="A83" s="34" t="s">
        <v>34</v>
      </c>
      <c r="B83" s="34"/>
      <c r="C83" s="34"/>
      <c r="D83" s="76">
        <f>D78/D81</f>
        <v>6.1595145659349412E-2</v>
      </c>
      <c r="E83" s="34"/>
      <c r="F83" s="76">
        <f>F78/F81</f>
        <v>2.8079573330171227E-2</v>
      </c>
      <c r="G83" s="34"/>
      <c r="H83" s="76">
        <f>H78/H81</f>
        <v>8.2368800665875611E-2</v>
      </c>
      <c r="I83" s="34"/>
      <c r="J83" s="76">
        <f>J78/J81</f>
        <v>0.15014491107484815</v>
      </c>
      <c r="K83" s="34"/>
      <c r="L83" s="76">
        <f>L78/L81</f>
        <v>0.17816182787248047</v>
      </c>
      <c r="M83" s="34"/>
      <c r="N83" s="76">
        <f>N78/N81</f>
        <v>0.18272565348459269</v>
      </c>
      <c r="O83" s="76"/>
      <c r="P83" s="76">
        <f t="shared" ref="P83" si="19">P78/P81</f>
        <v>0.14476023416614442</v>
      </c>
      <c r="Q83" s="11"/>
      <c r="R83" s="11"/>
      <c r="S83" s="11"/>
      <c r="T83" s="11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11"/>
      <c r="R84" s="11"/>
      <c r="S84" s="11"/>
      <c r="T84" s="11"/>
    </row>
    <row r="85" spans="1:20">
      <c r="A85" s="34" t="s">
        <v>35</v>
      </c>
      <c r="B85" s="34"/>
      <c r="C85" s="34"/>
      <c r="D85" s="77">
        <f>D83/$D$83</f>
        <v>1</v>
      </c>
      <c r="E85" s="34"/>
      <c r="F85" s="77">
        <f>F83/$D$83</f>
        <v>0.45587315411939577</v>
      </c>
      <c r="G85" s="34"/>
      <c r="H85" s="77">
        <f>H83/$D$83</f>
        <v>1.3372612368093817</v>
      </c>
      <c r="I85" s="34"/>
      <c r="J85" s="77">
        <f>J83/$D$83</f>
        <v>2.4376094815202038</v>
      </c>
      <c r="K85" s="34"/>
      <c r="L85" s="77">
        <f>L83/$D$83</f>
        <v>2.8924654039751854</v>
      </c>
      <c r="M85" s="34"/>
      <c r="N85" s="77">
        <f>N83/$D$83</f>
        <v>2.9665593210080687</v>
      </c>
      <c r="O85" s="77"/>
      <c r="P85" s="77">
        <f>P83/$D$83</f>
        <v>2.3501890062365902</v>
      </c>
      <c r="Q85" s="11"/>
      <c r="R85" s="11"/>
      <c r="S85" s="11"/>
      <c r="T85" s="11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144"/>
      <c r="N86" s="34"/>
      <c r="O86" s="34"/>
      <c r="P86" s="34"/>
      <c r="Q86" s="11"/>
      <c r="R86" s="11"/>
      <c r="S86" s="11"/>
      <c r="T86" s="11"/>
    </row>
    <row r="87" spans="1:2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2"/>
      <c r="N87" s="11"/>
      <c r="O87" s="11"/>
      <c r="P87" s="11"/>
      <c r="Q87" s="11"/>
      <c r="R87" s="11"/>
      <c r="S87" s="11"/>
      <c r="T87" s="11"/>
    </row>
    <row r="88" spans="1:20">
      <c r="A88" s="65" t="s">
        <v>36</v>
      </c>
      <c r="B88" s="11"/>
      <c r="C88" s="11"/>
      <c r="D88" s="11"/>
      <c r="E88" s="11"/>
      <c r="F88" s="80">
        <f>ROUND(+F81/$D81,4)</f>
        <v>0.61890000000000001</v>
      </c>
      <c r="G88" s="11"/>
      <c r="H88" s="80">
        <f>ROUND(+H81/$D81,4)</f>
        <v>0.22739999999999999</v>
      </c>
      <c r="I88" s="11"/>
      <c r="J88" s="80">
        <f>ROUND(+J81/$D81,4)</f>
        <v>4.9099999999999998E-2</v>
      </c>
      <c r="K88" s="11"/>
      <c r="L88" s="80">
        <f>ROUND(+L81/$D81,4)</f>
        <v>4.6699999999999998E-2</v>
      </c>
      <c r="M88" s="11"/>
      <c r="N88" s="80">
        <f>ROUND(+N81/$D81,4)</f>
        <v>3.7400000000000003E-2</v>
      </c>
      <c r="O88" s="80"/>
      <c r="P88" s="80">
        <f t="shared" ref="P88" si="20">ROUND(+P81/$D81,4)</f>
        <v>2.0400000000000001E-2</v>
      </c>
      <c r="Q88" s="74">
        <f>SUM(F88:P88)</f>
        <v>0.99990000000000001</v>
      </c>
      <c r="R88" s="11"/>
      <c r="S88" s="11"/>
      <c r="T88" s="11"/>
    </row>
    <row r="89" spans="1:20">
      <c r="A89" s="65" t="s">
        <v>37</v>
      </c>
      <c r="B89" s="11"/>
      <c r="C89" s="11"/>
      <c r="D89" s="11"/>
      <c r="E89" s="11"/>
      <c r="F89" s="80">
        <f>ROUND(+F74/$D74,4)-0.0001</f>
        <v>0.1028</v>
      </c>
      <c r="G89" s="11"/>
      <c r="H89" s="80">
        <f>ROUND(+H74/$D74,4)</f>
        <v>0.34499999999999997</v>
      </c>
      <c r="I89" s="11"/>
      <c r="J89" s="80">
        <f>ROUND(+J74/$D74,4)</f>
        <v>0.15740000000000001</v>
      </c>
      <c r="K89" s="11"/>
      <c r="L89" s="80">
        <f>ROUND(+L74/$D74,4)</f>
        <v>0.182</v>
      </c>
      <c r="M89" s="11"/>
      <c r="N89" s="80">
        <f>ROUND(+N74/$D74,4)</f>
        <v>0.15010000000000001</v>
      </c>
      <c r="O89" s="80"/>
      <c r="P89" s="80">
        <f t="shared" ref="P89" si="21">ROUND(+P74/$D74,4)</f>
        <v>6.2700000000000006E-2</v>
      </c>
      <c r="Q89" s="74">
        <f>SUM(F89:P89)</f>
        <v>0.99999999999999989</v>
      </c>
      <c r="R89" s="11"/>
      <c r="S89" s="11"/>
      <c r="T89" s="11"/>
    </row>
    <row r="90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2"/>
      <c r="N90" s="11"/>
      <c r="O90" s="11"/>
      <c r="P90" s="11"/>
      <c r="Q90" s="11"/>
      <c r="R90" s="11"/>
      <c r="S90" s="11"/>
      <c r="T90" s="11"/>
    </row>
    <row r="9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2"/>
      <c r="N91" s="11"/>
      <c r="O91" s="11"/>
      <c r="P91" s="11"/>
      <c r="Q91" s="11"/>
      <c r="R91" s="11"/>
      <c r="S91" s="11"/>
      <c r="T91" s="11"/>
    </row>
    <row r="92" spans="1:2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2"/>
      <c r="N92" s="11"/>
      <c r="O92" s="11"/>
      <c r="P92" s="11"/>
      <c r="Q92" s="11"/>
      <c r="R92" s="11"/>
      <c r="S92" s="11"/>
      <c r="T92" s="11"/>
    </row>
    <row r="93" spans="1:20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1"/>
      <c r="S93" s="11"/>
      <c r="T93" s="11"/>
    </row>
    <row r="94" spans="1:20">
      <c r="A94" s="132"/>
      <c r="B94" s="132"/>
      <c r="C94" s="132"/>
      <c r="D94" s="144"/>
      <c r="E94" s="132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32"/>
      <c r="R94" s="11"/>
      <c r="S94" s="11"/>
      <c r="T94" s="11"/>
    </row>
    <row r="95" spans="1:20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1"/>
      <c r="S95" s="11"/>
      <c r="T95" s="11"/>
    </row>
    <row r="96" spans="1:20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1"/>
      <c r="S96" s="11"/>
      <c r="T96" s="11"/>
    </row>
    <row r="97" spans="1:2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2"/>
      <c r="N97" s="11"/>
      <c r="O97" s="11"/>
      <c r="P97" s="11"/>
      <c r="Q97" s="11"/>
      <c r="R97" s="11"/>
      <c r="S97" s="11"/>
      <c r="T97" s="11"/>
    </row>
    <row r="98" spans="1:2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2"/>
      <c r="N98" s="11"/>
      <c r="O98" s="11"/>
      <c r="P98" s="11"/>
      <c r="Q98" s="11"/>
      <c r="R98" s="11"/>
      <c r="S98" s="11"/>
      <c r="T98" s="11"/>
    </row>
    <row r="99" spans="1:20" ht="15.75">
      <c r="A99" s="9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2"/>
      <c r="N99" s="11"/>
      <c r="O99" s="11"/>
      <c r="P99" s="11"/>
      <c r="Q99" s="11"/>
      <c r="R99" s="11"/>
      <c r="S99" s="11"/>
      <c r="T99" s="11"/>
    </row>
    <row r="100" spans="1:20">
      <c r="A100" s="495"/>
      <c r="B100" s="492"/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11"/>
      <c r="R100" s="11"/>
      <c r="S100" s="11"/>
      <c r="T100" s="11"/>
    </row>
    <row r="101" spans="1:20" ht="15.75">
      <c r="A101" s="970"/>
      <c r="B101" s="492"/>
      <c r="C101" s="492"/>
      <c r="D101" s="492"/>
      <c r="E101" s="492"/>
      <c r="F101" s="492"/>
      <c r="G101" s="492"/>
      <c r="H101" s="492"/>
      <c r="I101" s="492"/>
      <c r="J101" s="492"/>
      <c r="K101" s="971"/>
      <c r="L101" s="492"/>
      <c r="M101" s="492"/>
      <c r="N101" s="492"/>
      <c r="O101" s="492"/>
      <c r="P101" s="492"/>
      <c r="Q101" s="11"/>
      <c r="R101" s="11"/>
      <c r="S101" s="11"/>
      <c r="T101" s="11"/>
    </row>
    <row r="102" spans="1:20">
      <c r="A102" s="495"/>
      <c r="B102" s="495"/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11"/>
      <c r="R102" s="11"/>
      <c r="S102" s="11"/>
      <c r="T102" s="11"/>
    </row>
    <row r="103" spans="1:20" ht="15.75">
      <c r="A103" s="972"/>
      <c r="B103" s="495"/>
      <c r="C103" s="495"/>
      <c r="D103" s="495"/>
      <c r="E103" s="495"/>
      <c r="F103" s="972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11"/>
      <c r="R103" s="11"/>
      <c r="S103" s="11"/>
      <c r="T103" s="11"/>
    </row>
    <row r="104" spans="1:20">
      <c r="A104" s="973"/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11"/>
      <c r="R104" s="11"/>
      <c r="S104" s="11"/>
      <c r="T104" s="11"/>
    </row>
    <row r="105" spans="1:20">
      <c r="A105" s="558"/>
      <c r="B105" s="558"/>
      <c r="C105" s="558"/>
      <c r="D105" s="497"/>
      <c r="E105" s="558"/>
      <c r="F105" s="558"/>
      <c r="G105" s="558"/>
      <c r="H105" s="497"/>
      <c r="I105" s="558"/>
      <c r="J105" s="497"/>
      <c r="K105" s="558"/>
      <c r="L105" s="497"/>
      <c r="M105" s="497"/>
      <c r="N105" s="497"/>
      <c r="O105" s="497"/>
      <c r="P105" s="497"/>
      <c r="Q105" s="11"/>
      <c r="R105" s="11"/>
      <c r="S105" s="11"/>
      <c r="T105" s="11"/>
    </row>
    <row r="106" spans="1:20">
      <c r="A106" s="558"/>
      <c r="B106" s="558"/>
      <c r="C106" s="558"/>
      <c r="D106" s="497"/>
      <c r="E106" s="558"/>
      <c r="F106" s="497"/>
      <c r="G106" s="558"/>
      <c r="H106" s="497"/>
      <c r="I106" s="558"/>
      <c r="J106" s="497"/>
      <c r="K106" s="558"/>
      <c r="L106" s="497"/>
      <c r="M106" s="497"/>
      <c r="N106" s="497"/>
      <c r="O106" s="497"/>
      <c r="P106" s="497"/>
      <c r="Q106" s="11"/>
      <c r="R106" s="11"/>
      <c r="S106" s="11"/>
      <c r="T106" s="11"/>
    </row>
    <row r="107" spans="1:20">
      <c r="A107" s="495"/>
      <c r="B107" s="495"/>
      <c r="C107" s="558"/>
      <c r="D107" s="497"/>
      <c r="E107" s="558"/>
      <c r="F107" s="497"/>
      <c r="G107" s="558"/>
      <c r="H107" s="497"/>
      <c r="I107" s="558"/>
      <c r="J107" s="497"/>
      <c r="K107" s="558"/>
      <c r="L107" s="497"/>
      <c r="M107" s="497"/>
      <c r="N107" s="497"/>
      <c r="O107" s="497"/>
      <c r="P107" s="497"/>
    </row>
    <row r="108" spans="1:20">
      <c r="A108" s="495"/>
      <c r="B108" s="495"/>
      <c r="C108" s="558"/>
      <c r="D108" s="497"/>
      <c r="E108" s="558"/>
      <c r="F108" s="497"/>
      <c r="G108" s="558"/>
      <c r="H108" s="497"/>
      <c r="I108" s="558"/>
      <c r="J108" s="497"/>
      <c r="K108" s="558"/>
      <c r="L108" s="497"/>
      <c r="M108" s="497"/>
      <c r="N108" s="974"/>
      <c r="O108" s="974"/>
      <c r="P108" s="974"/>
    </row>
    <row r="109" spans="1:20" ht="10.15" customHeight="1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</row>
    <row r="110" spans="1:20">
      <c r="A110" s="558"/>
      <c r="B110" s="558"/>
      <c r="C110" s="558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</row>
    <row r="111" spans="1:20">
      <c r="A111" s="558"/>
      <c r="B111" s="558"/>
      <c r="C111" s="558"/>
      <c r="D111" s="975"/>
      <c r="E111" s="975"/>
      <c r="F111" s="975"/>
      <c r="G111" s="975"/>
      <c r="H111" s="975"/>
      <c r="I111" s="975"/>
      <c r="J111" s="975"/>
      <c r="K111" s="975"/>
      <c r="L111" s="975"/>
      <c r="M111" s="975"/>
      <c r="N111" s="975"/>
      <c r="O111" s="975"/>
      <c r="P111" s="975"/>
      <c r="Q111" s="11"/>
    </row>
    <row r="112" spans="1:20">
      <c r="A112" s="558"/>
      <c r="B112" s="558"/>
      <c r="C112" s="55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1"/>
    </row>
    <row r="113" spans="1:17">
      <c r="A113" s="558"/>
      <c r="B113" s="558"/>
      <c r="C113" s="558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11"/>
    </row>
    <row r="114" spans="1:17">
      <c r="A114" s="558"/>
      <c r="B114" s="558"/>
      <c r="C114" s="55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1"/>
    </row>
    <row r="115" spans="1:17">
      <c r="A115" s="558"/>
      <c r="B115" s="558"/>
      <c r="C115" s="558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11"/>
    </row>
    <row r="116" spans="1:17">
      <c r="A116" s="558"/>
      <c r="B116" s="558"/>
      <c r="C116" s="558"/>
      <c r="D116" s="459"/>
      <c r="E116" s="275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11"/>
    </row>
    <row r="117" spans="1:17">
      <c r="A117" s="558"/>
      <c r="B117" s="558"/>
      <c r="C117" s="558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11"/>
    </row>
    <row r="118" spans="1:17">
      <c r="A118" s="558"/>
      <c r="B118" s="558"/>
      <c r="C118" s="558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11"/>
    </row>
    <row r="119" spans="1:17">
      <c r="A119" s="558"/>
      <c r="B119" s="558"/>
      <c r="C119" s="558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11"/>
    </row>
    <row r="120" spans="1:17">
      <c r="A120" s="558"/>
      <c r="B120" s="558"/>
      <c r="C120" s="558"/>
      <c r="D120" s="277"/>
      <c r="E120" s="275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11"/>
    </row>
    <row r="121" spans="1:17">
      <c r="A121" s="558"/>
      <c r="B121" s="558"/>
      <c r="C121" s="558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11"/>
    </row>
    <row r="122" spans="1:17">
      <c r="A122" s="558"/>
      <c r="B122" s="558"/>
      <c r="C122" s="558"/>
      <c r="D122" s="189"/>
      <c r="E122" s="275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1"/>
    </row>
    <row r="123" spans="1:17">
      <c r="A123" s="558"/>
      <c r="B123" s="558"/>
      <c r="C123" s="558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11"/>
    </row>
    <row r="124" spans="1:17">
      <c r="A124" s="558"/>
      <c r="B124" s="558"/>
      <c r="C124" s="558"/>
      <c r="D124" s="277"/>
      <c r="E124" s="275"/>
      <c r="F124" s="224"/>
      <c r="G124" s="224"/>
      <c r="H124" s="976"/>
      <c r="I124" s="224"/>
      <c r="J124" s="224"/>
      <c r="K124" s="224"/>
      <c r="L124" s="224"/>
      <c r="M124" s="224"/>
      <c r="N124" s="224"/>
      <c r="O124" s="224"/>
      <c r="P124" s="224"/>
      <c r="Q124" s="11"/>
    </row>
    <row r="125" spans="1:17">
      <c r="A125" s="558"/>
      <c r="B125" s="558"/>
      <c r="C125" s="558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11"/>
    </row>
    <row r="126" spans="1:17">
      <c r="A126" s="558"/>
      <c r="B126" s="558"/>
      <c r="C126" s="558"/>
      <c r="D126" s="189"/>
      <c r="E126" s="977"/>
      <c r="F126" s="800"/>
      <c r="G126" s="800"/>
      <c r="H126" s="800"/>
      <c r="I126" s="800"/>
      <c r="J126" s="800"/>
      <c r="K126" s="800"/>
      <c r="L126" s="800"/>
      <c r="M126" s="800"/>
      <c r="N126" s="800"/>
      <c r="O126" s="800"/>
      <c r="P126" s="800"/>
      <c r="Q126" s="11"/>
    </row>
    <row r="127" spans="1:17">
      <c r="A127" s="558"/>
      <c r="B127" s="558"/>
      <c r="C127" s="558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11"/>
    </row>
    <row r="128" spans="1:17">
      <c r="A128" s="558"/>
      <c r="B128" s="558"/>
      <c r="C128" s="558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11"/>
    </row>
    <row r="129" spans="1:17">
      <c r="A129" s="558"/>
      <c r="B129" s="558"/>
      <c r="C129" s="558"/>
      <c r="D129" s="459"/>
      <c r="E129" s="275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1"/>
    </row>
    <row r="130" spans="1:17">
      <c r="A130" s="558"/>
      <c r="B130" s="558"/>
      <c r="C130" s="558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</row>
    <row r="131" spans="1:17">
      <c r="A131" s="558"/>
      <c r="B131" s="558"/>
      <c r="C131" s="558"/>
      <c r="D131" s="978"/>
      <c r="E131" s="558"/>
      <c r="F131" s="978"/>
      <c r="G131" s="558"/>
      <c r="H131" s="978"/>
      <c r="I131" s="558"/>
      <c r="J131" s="978"/>
      <c r="K131" s="558"/>
      <c r="L131" s="978"/>
      <c r="M131" s="558"/>
      <c r="N131" s="978"/>
      <c r="O131" s="978"/>
      <c r="P131" s="978"/>
    </row>
    <row r="132" spans="1:17">
      <c r="A132" s="558"/>
      <c r="B132" s="558"/>
      <c r="C132" s="558"/>
      <c r="D132" s="558"/>
      <c r="E132" s="558"/>
      <c r="F132" s="558"/>
      <c r="G132" s="558"/>
      <c r="H132" s="558"/>
      <c r="I132" s="558"/>
      <c r="J132" s="558"/>
      <c r="K132" s="558"/>
      <c r="L132" s="558"/>
      <c r="M132" s="558"/>
      <c r="N132" s="558"/>
      <c r="O132" s="558"/>
      <c r="P132" s="558"/>
    </row>
    <row r="133" spans="1:17">
      <c r="A133" s="558"/>
      <c r="B133" s="558"/>
      <c r="C133" s="558"/>
      <c r="D133" s="979"/>
      <c r="E133" s="558"/>
      <c r="F133" s="979"/>
      <c r="G133" s="558"/>
      <c r="H133" s="979"/>
      <c r="I133" s="558"/>
      <c r="J133" s="979"/>
      <c r="K133" s="558"/>
      <c r="L133" s="979"/>
      <c r="M133" s="558"/>
      <c r="N133" s="979"/>
      <c r="O133" s="979"/>
      <c r="P133" s="979"/>
    </row>
    <row r="134" spans="1:17">
      <c r="A134" s="558"/>
      <c r="B134" s="558"/>
      <c r="C134" s="558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</row>
    <row r="135" spans="1:17">
      <c r="A135" s="558"/>
      <c r="B135" s="558"/>
      <c r="C135" s="558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</row>
    <row r="136" spans="1:17">
      <c r="A136" s="980"/>
      <c r="B136" s="558"/>
      <c r="C136" s="558"/>
      <c r="D136" s="275"/>
      <c r="E136" s="275"/>
      <c r="F136" s="981"/>
      <c r="G136" s="568"/>
      <c r="H136" s="981"/>
      <c r="I136" s="568"/>
      <c r="J136" s="981"/>
      <c r="K136" s="568"/>
      <c r="L136" s="981"/>
      <c r="M136" s="568"/>
      <c r="N136" s="981"/>
      <c r="O136" s="981"/>
      <c r="P136" s="981"/>
      <c r="Q136" s="74"/>
    </row>
    <row r="137" spans="1:17">
      <c r="A137" s="980"/>
      <c r="B137" s="558"/>
      <c r="C137" s="558"/>
      <c r="D137" s="275"/>
      <c r="E137" s="275"/>
      <c r="F137" s="981"/>
      <c r="G137" s="568"/>
      <c r="H137" s="981"/>
      <c r="I137" s="568"/>
      <c r="J137" s="981"/>
      <c r="K137" s="568"/>
      <c r="L137" s="981"/>
      <c r="M137" s="568"/>
      <c r="N137" s="981"/>
      <c r="O137" s="981"/>
      <c r="P137" s="981"/>
      <c r="Q137" s="74"/>
    </row>
    <row r="138" spans="1:17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</row>
    <row r="139" spans="1:17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</row>
    <row r="140" spans="1:17" ht="15.75">
      <c r="A140" s="982"/>
      <c r="B140" s="275"/>
      <c r="C140" s="275"/>
      <c r="D140" s="275"/>
      <c r="E140" s="275"/>
      <c r="F140" s="981"/>
      <c r="G140" s="568"/>
      <c r="H140" s="981"/>
      <c r="I140" s="568"/>
      <c r="J140" s="981"/>
      <c r="K140" s="568"/>
      <c r="L140" s="981"/>
      <c r="M140" s="568"/>
      <c r="N140" s="981"/>
      <c r="O140" s="981"/>
      <c r="P140" s="981"/>
      <c r="Q140" s="74"/>
    </row>
    <row r="141" spans="1:17">
      <c r="A141" s="495"/>
      <c r="B141" s="492"/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11"/>
    </row>
    <row r="142" spans="1:17" ht="15.75">
      <c r="A142" s="970"/>
      <c r="B142" s="492"/>
      <c r="C142" s="492"/>
      <c r="D142" s="492"/>
      <c r="E142" s="492"/>
      <c r="F142" s="492"/>
      <c r="G142" s="492"/>
      <c r="H142" s="492"/>
      <c r="I142" s="492"/>
      <c r="J142" s="492"/>
      <c r="K142" s="971"/>
      <c r="L142" s="492"/>
      <c r="M142" s="492"/>
      <c r="N142" s="492"/>
      <c r="O142" s="492"/>
      <c r="P142" s="492"/>
      <c r="Q142" s="11"/>
    </row>
    <row r="143" spans="1:17">
      <c r="A143" s="495"/>
      <c r="B143" s="495"/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11"/>
    </row>
    <row r="144" spans="1:17">
      <c r="A144" s="495"/>
      <c r="B144" s="495"/>
      <c r="C144" s="495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11"/>
    </row>
    <row r="145" spans="1:17">
      <c r="A145" s="973"/>
      <c r="B145" s="495"/>
      <c r="C145" s="495"/>
      <c r="D145" s="495"/>
      <c r="E145" s="495"/>
      <c r="F145" s="495"/>
      <c r="G145" s="495"/>
      <c r="H145" s="495"/>
      <c r="I145" s="495"/>
      <c r="J145" s="495"/>
      <c r="K145" s="495"/>
      <c r="L145" s="495"/>
      <c r="M145" s="495"/>
      <c r="N145" s="495"/>
      <c r="O145" s="495"/>
      <c r="P145" s="495"/>
      <c r="Q145" s="11"/>
    </row>
    <row r="146" spans="1:17">
      <c r="A146" s="558"/>
      <c r="B146" s="558"/>
      <c r="C146" s="558"/>
      <c r="D146" s="497"/>
      <c r="E146" s="558"/>
      <c r="F146" s="558"/>
      <c r="G146" s="558"/>
      <c r="H146" s="497"/>
      <c r="I146" s="558"/>
      <c r="J146" s="497"/>
      <c r="K146" s="558"/>
      <c r="L146" s="497"/>
      <c r="M146" s="497"/>
      <c r="N146" s="497"/>
      <c r="O146" s="497"/>
      <c r="P146" s="497"/>
      <c r="Q146" s="11"/>
    </row>
    <row r="147" spans="1:17">
      <c r="A147" s="558"/>
      <c r="B147" s="558"/>
      <c r="C147" s="558"/>
      <c r="D147" s="497"/>
      <c r="E147" s="558"/>
      <c r="F147" s="497"/>
      <c r="G147" s="558"/>
      <c r="H147" s="497"/>
      <c r="I147" s="558"/>
      <c r="J147" s="497"/>
      <c r="K147" s="558"/>
      <c r="L147" s="497"/>
      <c r="M147" s="497"/>
      <c r="N147" s="497"/>
      <c r="O147" s="497"/>
      <c r="P147" s="497"/>
      <c r="Q147" s="11"/>
    </row>
    <row r="148" spans="1:17">
      <c r="A148" s="495"/>
      <c r="B148" s="495"/>
      <c r="C148" s="558"/>
      <c r="D148" s="497"/>
      <c r="E148" s="558"/>
      <c r="F148" s="497"/>
      <c r="G148" s="558"/>
      <c r="H148" s="497"/>
      <c r="I148" s="558"/>
      <c r="J148" s="497"/>
      <c r="K148" s="558"/>
      <c r="L148" s="497"/>
      <c r="M148" s="497"/>
      <c r="N148" s="497"/>
      <c r="O148" s="497"/>
      <c r="P148" s="497"/>
    </row>
    <row r="149" spans="1:17">
      <c r="A149" s="495"/>
      <c r="B149" s="495"/>
      <c r="C149" s="558"/>
      <c r="D149" s="497"/>
      <c r="E149" s="558"/>
      <c r="F149" s="497"/>
      <c r="G149" s="558"/>
      <c r="H149" s="497"/>
      <c r="I149" s="558"/>
      <c r="J149" s="497"/>
      <c r="K149" s="558"/>
      <c r="L149" s="497"/>
      <c r="M149" s="497"/>
      <c r="N149" s="974"/>
      <c r="O149" s="974"/>
      <c r="P149" s="974"/>
    </row>
    <row r="150" spans="1:17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</row>
    <row r="151" spans="1:17">
      <c r="A151" s="558"/>
      <c r="B151" s="558"/>
      <c r="C151" s="558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</row>
    <row r="152" spans="1:17">
      <c r="A152" s="558"/>
      <c r="B152" s="558"/>
      <c r="C152" s="558"/>
      <c r="D152" s="975"/>
      <c r="E152" s="975"/>
      <c r="F152" s="975"/>
      <c r="G152" s="975"/>
      <c r="H152" s="975"/>
      <c r="I152" s="975"/>
      <c r="J152" s="975"/>
      <c r="K152" s="975"/>
      <c r="L152" s="975"/>
      <c r="M152" s="975"/>
      <c r="N152" s="975"/>
      <c r="O152" s="975"/>
      <c r="P152" s="975"/>
      <c r="Q152" s="11"/>
    </row>
    <row r="153" spans="1:17">
      <c r="A153" s="558"/>
      <c r="B153" s="558"/>
      <c r="C153" s="558"/>
      <c r="D153" s="975"/>
      <c r="E153" s="975"/>
      <c r="F153" s="975"/>
      <c r="G153" s="975"/>
      <c r="H153" s="975"/>
      <c r="I153" s="975"/>
      <c r="J153" s="975"/>
      <c r="K153" s="975"/>
      <c r="L153" s="975"/>
      <c r="M153" s="975"/>
      <c r="N153" s="975"/>
      <c r="O153" s="975"/>
      <c r="P153" s="975"/>
      <c r="Q153" s="11"/>
    </row>
    <row r="154" spans="1:17">
      <c r="A154" s="558"/>
      <c r="B154" s="558"/>
      <c r="C154" s="558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11"/>
    </row>
    <row r="155" spans="1:17">
      <c r="A155" s="558"/>
      <c r="B155" s="558"/>
      <c r="C155" s="558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1"/>
    </row>
    <row r="156" spans="1:17">
      <c r="A156" s="558"/>
      <c r="B156" s="558"/>
      <c r="C156" s="558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11"/>
    </row>
    <row r="157" spans="1:17">
      <c r="A157" s="558"/>
      <c r="B157" s="558"/>
      <c r="C157" s="558"/>
      <c r="D157" s="459"/>
      <c r="E157" s="275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11"/>
    </row>
    <row r="158" spans="1:17">
      <c r="A158" s="558"/>
      <c r="B158" s="558"/>
      <c r="C158" s="558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11"/>
    </row>
    <row r="159" spans="1:17">
      <c r="A159" s="558"/>
      <c r="B159" s="558"/>
      <c r="C159" s="558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11"/>
    </row>
    <row r="160" spans="1:17">
      <c r="A160" s="558"/>
      <c r="B160" s="558"/>
      <c r="C160" s="558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11"/>
    </row>
    <row r="161" spans="1:17">
      <c r="A161" s="558"/>
      <c r="B161" s="558"/>
      <c r="C161" s="558"/>
      <c r="D161" s="277"/>
      <c r="E161" s="275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11"/>
    </row>
    <row r="162" spans="1:17">
      <c r="A162" s="558"/>
      <c r="B162" s="558"/>
      <c r="C162" s="558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11"/>
    </row>
    <row r="163" spans="1:17">
      <c r="A163" s="558"/>
      <c r="B163" s="558"/>
      <c r="C163" s="558"/>
      <c r="D163" s="189"/>
      <c r="E163" s="275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1"/>
    </row>
    <row r="164" spans="1:17">
      <c r="A164" s="558"/>
      <c r="B164" s="558"/>
      <c r="C164" s="558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11"/>
    </row>
    <row r="165" spans="1:17">
      <c r="A165" s="558"/>
      <c r="B165" s="558"/>
      <c r="C165" s="558"/>
      <c r="D165" s="277"/>
      <c r="E165" s="275"/>
      <c r="F165" s="224"/>
      <c r="G165" s="224"/>
      <c r="H165" s="976"/>
      <c r="I165" s="224"/>
      <c r="J165" s="224"/>
      <c r="K165" s="224"/>
      <c r="L165" s="224"/>
      <c r="M165" s="224"/>
      <c r="N165" s="224"/>
      <c r="O165" s="224"/>
      <c r="P165" s="224"/>
      <c r="Q165" s="11"/>
    </row>
    <row r="166" spans="1:17">
      <c r="A166" s="223"/>
      <c r="B166" s="223"/>
      <c r="C166" s="223"/>
      <c r="D166" s="104"/>
      <c r="E166" s="104"/>
      <c r="F166" s="104"/>
      <c r="G166" s="104"/>
      <c r="H166" s="104"/>
      <c r="I166" s="104"/>
      <c r="J166" s="104"/>
      <c r="K166" s="104"/>
      <c r="L166" s="275"/>
      <c r="M166" s="275"/>
      <c r="N166" s="275"/>
      <c r="O166" s="275"/>
      <c r="P166" s="275"/>
      <c r="Q166" s="11"/>
    </row>
    <row r="167" spans="1:17">
      <c r="A167" s="223"/>
      <c r="B167" s="223"/>
      <c r="C167" s="223"/>
      <c r="D167" s="126"/>
      <c r="E167" s="501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11"/>
    </row>
    <row r="168" spans="1:17">
      <c r="A168" s="223"/>
      <c r="B168" s="223"/>
      <c r="C168" s="223"/>
      <c r="D168" s="104"/>
      <c r="E168" s="104"/>
      <c r="F168" s="104"/>
      <c r="G168" s="104"/>
      <c r="H168" s="104"/>
      <c r="I168" s="104"/>
      <c r="J168" s="104"/>
      <c r="K168" s="104"/>
      <c r="L168" s="275"/>
      <c r="M168" s="275"/>
      <c r="N168" s="275"/>
      <c r="O168" s="275"/>
      <c r="P168" s="275"/>
      <c r="Q168" s="11"/>
    </row>
    <row r="169" spans="1:17">
      <c r="A169" s="223"/>
      <c r="B169" s="223"/>
      <c r="C169" s="223"/>
      <c r="D169" s="104"/>
      <c r="E169" s="104"/>
      <c r="F169" s="104"/>
      <c r="G169" s="104"/>
      <c r="H169" s="104"/>
      <c r="I169" s="104"/>
      <c r="J169" s="104"/>
      <c r="K169" s="104"/>
      <c r="L169" s="275"/>
      <c r="M169" s="275"/>
      <c r="N169" s="275"/>
      <c r="O169" s="275"/>
      <c r="P169" s="275"/>
      <c r="Q169" s="11"/>
    </row>
    <row r="170" spans="1:17">
      <c r="A170" s="223"/>
      <c r="B170" s="223"/>
      <c r="C170" s="223"/>
      <c r="D170" s="449"/>
      <c r="E170" s="104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1"/>
    </row>
    <row r="171" spans="1:17">
      <c r="A171" s="223"/>
      <c r="B171" s="223"/>
      <c r="C171" s="223"/>
      <c r="D171" s="104"/>
      <c r="E171" s="104"/>
      <c r="F171" s="104"/>
      <c r="G171" s="104"/>
      <c r="H171" s="104"/>
      <c r="I171" s="104"/>
      <c r="J171" s="104"/>
      <c r="K171" s="104"/>
      <c r="L171" s="275"/>
      <c r="M171" s="275"/>
      <c r="N171" s="275"/>
      <c r="O171" s="275"/>
      <c r="P171" s="275"/>
    </row>
    <row r="172" spans="1:17">
      <c r="A172" s="223"/>
      <c r="B172" s="223"/>
      <c r="C172" s="223"/>
      <c r="D172" s="502"/>
      <c r="E172" s="223"/>
      <c r="F172" s="502"/>
      <c r="G172" s="223"/>
      <c r="H172" s="502"/>
      <c r="I172" s="223"/>
      <c r="J172" s="502"/>
      <c r="K172" s="223"/>
      <c r="L172" s="502"/>
      <c r="M172" s="223"/>
      <c r="N172" s="502"/>
      <c r="O172" s="502"/>
      <c r="P172" s="502"/>
    </row>
    <row r="173" spans="1:17">
      <c r="A173" s="223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</row>
    <row r="174" spans="1:17">
      <c r="A174" s="223"/>
      <c r="B174" s="223"/>
      <c r="C174" s="223"/>
      <c r="D174" s="503"/>
      <c r="E174" s="503"/>
      <c r="F174" s="503"/>
      <c r="G174" s="503"/>
      <c r="H174" s="503"/>
      <c r="I174" s="503"/>
      <c r="J174" s="503"/>
      <c r="K174" s="503"/>
      <c r="L174" s="503"/>
      <c r="M174" s="503"/>
      <c r="N174" s="503"/>
      <c r="O174" s="503"/>
      <c r="P174" s="503"/>
    </row>
    <row r="175" spans="1:17">
      <c r="A175" s="34"/>
      <c r="B175" s="34"/>
      <c r="C175" s="34"/>
    </row>
    <row r="176" spans="1:17">
      <c r="A176" s="34"/>
      <c r="B176" s="34"/>
      <c r="C176" s="34"/>
    </row>
    <row r="177" spans="1:17">
      <c r="A177" s="75"/>
      <c r="B177" s="34"/>
      <c r="C177" s="34"/>
      <c r="F177" s="80"/>
      <c r="G177" s="11"/>
      <c r="H177" s="80"/>
      <c r="I177" s="11"/>
      <c r="J177" s="80"/>
      <c r="K177" s="11"/>
      <c r="L177" s="80"/>
      <c r="M177" s="11"/>
      <c r="N177" s="80"/>
      <c r="O177" s="80"/>
      <c r="P177" s="80"/>
      <c r="Q177" s="74"/>
    </row>
    <row r="178" spans="1:17">
      <c r="A178" s="75"/>
      <c r="B178" s="34"/>
      <c r="C178" s="34"/>
      <c r="F178" s="80"/>
      <c r="G178" s="11"/>
      <c r="H178" s="80"/>
      <c r="I178" s="11"/>
      <c r="J178" s="80"/>
      <c r="K178" s="11"/>
      <c r="L178" s="80"/>
      <c r="M178" s="11"/>
      <c r="N178" s="80"/>
      <c r="O178" s="80"/>
      <c r="P178" s="80"/>
      <c r="Q178" s="74"/>
    </row>
  </sheetData>
  <phoneticPr fontId="9" type="noConversion"/>
  <pageMargins left="0.75" right="0.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Q413"/>
  <sheetViews>
    <sheetView tabSelected="1" topLeftCell="A4" zoomScale="90" zoomScaleNormal="90" workbookViewId="0">
      <selection activeCell="A5" sqref="A5"/>
    </sheetView>
  </sheetViews>
  <sheetFormatPr defaultRowHeight="15"/>
  <cols>
    <col min="1" max="1" width="9.33203125" bestFit="1" customWidth="1"/>
    <col min="3" max="3" width="5.33203125" customWidth="1"/>
    <col min="4" max="4" width="13.77734375" bestFit="1" customWidth="1"/>
    <col min="5" max="5" width="2" customWidth="1"/>
    <col min="6" max="6" width="8.21875" customWidth="1"/>
    <col min="7" max="7" width="3" customWidth="1"/>
    <col min="8" max="8" width="14.5546875" bestFit="1" customWidth="1"/>
    <col min="9" max="9" width="2" customWidth="1"/>
    <col min="10" max="10" width="8.21875" customWidth="1"/>
    <col min="11" max="11" width="3.44140625" customWidth="1"/>
    <col min="12" max="12" width="13.77734375" bestFit="1" customWidth="1"/>
    <col min="13" max="13" width="1.33203125" customWidth="1"/>
    <col min="14" max="14" width="7.44140625" customWidth="1"/>
    <col min="15" max="15" width="2.5546875" customWidth="1"/>
    <col min="16" max="16" width="12.44140625" bestFit="1" customWidth="1"/>
    <col min="17" max="17" width="1.77734375" customWidth="1"/>
    <col min="20" max="20" width="12.33203125" customWidth="1"/>
    <col min="21" max="21" width="18.44140625" customWidth="1"/>
    <col min="23" max="23" width="2.77734375" customWidth="1"/>
    <col min="24" max="24" width="13.109375" customWidth="1"/>
    <col min="25" max="25" width="1.6640625" customWidth="1"/>
    <col min="26" max="26" width="13.6640625" customWidth="1"/>
    <col min="27" max="27" width="2.21875" customWidth="1"/>
    <col min="28" max="28" width="13" customWidth="1"/>
    <col min="29" max="29" width="1.33203125" customWidth="1"/>
    <col min="30" max="30" width="12" bestFit="1" customWidth="1"/>
    <col min="31" max="31" width="1.33203125" customWidth="1"/>
    <col min="32" max="32" width="12" customWidth="1"/>
    <col min="33" max="33" width="1.33203125" customWidth="1"/>
    <col min="34" max="34" width="12.21875" bestFit="1" customWidth="1"/>
    <col min="35" max="35" width="1.109375" customWidth="1"/>
    <col min="36" max="36" width="12.109375" customWidth="1"/>
  </cols>
  <sheetData>
    <row r="1" spans="1:3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49"/>
      <c r="M1" s="11"/>
      <c r="N1" s="11"/>
      <c r="O1" s="11"/>
      <c r="Q1" s="11"/>
      <c r="R1" s="11"/>
      <c r="S1" s="2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50"/>
      <c r="AI1" s="50"/>
      <c r="AJ1" s="11"/>
      <c r="AK1" s="11"/>
      <c r="AL1" s="11"/>
    </row>
    <row r="2" spans="1:38" ht="15.75">
      <c r="A2" s="34" t="s">
        <v>279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50"/>
      <c r="AI2" s="50"/>
      <c r="AJ2" s="11"/>
      <c r="AK2" s="11"/>
      <c r="AL2" s="11"/>
    </row>
    <row r="3" spans="1:38">
      <c r="A3" s="951">
        <f ca="1">NOW()</f>
        <v>43487.422283449072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50"/>
      <c r="AI3" s="50"/>
      <c r="AJ3" s="11"/>
      <c r="AK3" s="11"/>
      <c r="AL3" s="11"/>
    </row>
    <row r="4" spans="1:38" ht="15.75">
      <c r="A4" s="952">
        <f ca="1">NOW()</f>
        <v>43487.422283449072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64"/>
      <c r="M4" s="11"/>
      <c r="N4" s="11"/>
      <c r="O4" s="11"/>
      <c r="P4" s="81" t="s">
        <v>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50"/>
      <c r="AI4" s="50"/>
      <c r="AJ4" s="11"/>
      <c r="AK4" s="11"/>
      <c r="AL4" s="11"/>
    </row>
    <row r="5" spans="1:38">
      <c r="A5" s="55" t="s">
        <v>802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50"/>
      <c r="AI5" s="50"/>
      <c r="AJ5" s="11"/>
      <c r="AK5" s="11"/>
      <c r="AL5" s="11"/>
    </row>
    <row r="6" spans="1:38" ht="15.75">
      <c r="A6" s="9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97"/>
      <c r="P6" s="55"/>
      <c r="Q6" s="55"/>
      <c r="R6" s="5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50"/>
      <c r="AI6" s="50"/>
      <c r="AJ6" s="11"/>
      <c r="AK6" s="11"/>
      <c r="AL6" s="11"/>
    </row>
    <row r="7" spans="1:38" ht="15.75">
      <c r="A7" s="55" t="s">
        <v>130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51"/>
      <c r="AI7" s="51"/>
      <c r="AJ7" s="11"/>
      <c r="AK7" s="11"/>
      <c r="AL7" s="11"/>
    </row>
    <row r="8" spans="1:38">
      <c r="A8" s="55" t="s">
        <v>821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1"/>
      <c r="T8" s="11"/>
      <c r="U8" s="11"/>
      <c r="V8" s="11"/>
      <c r="W8" s="11"/>
      <c r="X8" s="11"/>
      <c r="Y8" s="11"/>
      <c r="Z8" s="65">
        <v>1</v>
      </c>
      <c r="AA8" s="11"/>
      <c r="AB8" s="65" t="s">
        <v>8</v>
      </c>
      <c r="AC8" s="11"/>
      <c r="AD8" s="11"/>
      <c r="AE8" s="11"/>
      <c r="AF8" s="11"/>
      <c r="AG8" s="11"/>
      <c r="AH8" s="50"/>
      <c r="AI8" s="50"/>
      <c r="AJ8" s="11"/>
      <c r="AK8" s="11"/>
      <c r="AL8" s="11"/>
    </row>
    <row r="9" spans="1:38" ht="15.75">
      <c r="A9" s="94" t="s">
        <v>457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50"/>
      <c r="AI9" s="50"/>
      <c r="AJ9" s="11"/>
      <c r="AK9" s="11"/>
      <c r="AL9" s="11"/>
    </row>
    <row r="10" spans="1:38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1"/>
      <c r="T10" s="11"/>
      <c r="U10" s="66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50"/>
      <c r="AI10" s="50"/>
      <c r="AJ10" s="67" t="s">
        <v>9</v>
      </c>
      <c r="AK10" s="11"/>
      <c r="AL10" s="11"/>
    </row>
    <row r="11" spans="1:38" ht="15.75">
      <c r="A11" s="34"/>
      <c r="B11" s="34"/>
      <c r="C11" s="34"/>
      <c r="D11" s="55" t="s">
        <v>182</v>
      </c>
      <c r="E11" s="55"/>
      <c r="F11" s="55"/>
      <c r="G11" s="34"/>
      <c r="H11" s="55" t="s">
        <v>429</v>
      </c>
      <c r="I11" s="55"/>
      <c r="J11" s="55"/>
      <c r="K11" s="55"/>
      <c r="L11" s="55"/>
      <c r="M11" s="55"/>
      <c r="N11" s="55"/>
      <c r="O11" s="34"/>
      <c r="P11" s="55" t="s">
        <v>564</v>
      </c>
      <c r="Q11" s="55"/>
      <c r="R11" s="55"/>
      <c r="S11" s="11"/>
      <c r="T11" s="11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"/>
      <c r="AL11" s="11"/>
    </row>
    <row r="12" spans="1:38">
      <c r="A12" s="55" t="s">
        <v>171</v>
      </c>
      <c r="B12" s="55"/>
      <c r="C12" s="34"/>
      <c r="D12" s="55" t="s">
        <v>2</v>
      </c>
      <c r="E12" s="55"/>
      <c r="F12" s="55"/>
      <c r="G12" s="34"/>
      <c r="H12" s="56" t="s">
        <v>4</v>
      </c>
      <c r="I12" s="56"/>
      <c r="J12" s="56"/>
      <c r="K12" s="57"/>
      <c r="L12" s="58" t="s">
        <v>563</v>
      </c>
      <c r="M12" s="56"/>
      <c r="N12" s="56"/>
      <c r="O12" s="34"/>
      <c r="P12" s="57"/>
      <c r="Q12" s="57"/>
      <c r="R12" s="59" t="s">
        <v>1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>
      <c r="A13" s="415" t="s">
        <v>172</v>
      </c>
      <c r="B13" s="415"/>
      <c r="C13" s="34"/>
      <c r="D13" s="59" t="s">
        <v>5</v>
      </c>
      <c r="E13" s="57"/>
      <c r="F13" s="59" t="s">
        <v>1</v>
      </c>
      <c r="G13" s="34"/>
      <c r="H13" s="56" t="s">
        <v>5</v>
      </c>
      <c r="I13" s="56"/>
      <c r="J13" s="56" t="s">
        <v>1</v>
      </c>
      <c r="K13" s="34"/>
      <c r="L13" s="59" t="s">
        <v>5</v>
      </c>
      <c r="M13" s="57"/>
      <c r="N13" s="59" t="s">
        <v>1</v>
      </c>
      <c r="O13" s="34"/>
      <c r="P13" s="60" t="s">
        <v>5</v>
      </c>
      <c r="Q13" s="34"/>
      <c r="R13" s="60" t="s">
        <v>0</v>
      </c>
      <c r="S13" s="11"/>
      <c r="T13" s="11"/>
      <c r="AK13" s="11"/>
      <c r="AL13" s="11"/>
    </row>
    <row r="14" spans="1:38">
      <c r="A14" s="55" t="s">
        <v>173</v>
      </c>
      <c r="B14" s="55"/>
      <c r="C14" s="34"/>
      <c r="D14" s="82">
        <v>-2</v>
      </c>
      <c r="E14" s="34"/>
      <c r="F14" s="82">
        <v>-3</v>
      </c>
      <c r="G14" s="34"/>
      <c r="H14" s="82">
        <v>-4</v>
      </c>
      <c r="I14" s="34"/>
      <c r="J14" s="82">
        <v>-5</v>
      </c>
      <c r="K14" s="34"/>
      <c r="L14" s="82">
        <v>-6</v>
      </c>
      <c r="M14" s="34"/>
      <c r="N14" s="82">
        <v>-7</v>
      </c>
      <c r="O14" s="34"/>
      <c r="P14" s="82">
        <v>-8</v>
      </c>
      <c r="Q14" s="34"/>
      <c r="R14" s="82">
        <v>-9</v>
      </c>
      <c r="S14" s="11"/>
      <c r="T14" s="11"/>
      <c r="AK14" s="11"/>
      <c r="AL14" s="11"/>
    </row>
    <row r="15" spans="1:38" ht="13.9" customHeight="1">
      <c r="A15" s="70"/>
      <c r="B15" s="34"/>
      <c r="C15" s="34"/>
      <c r="D15" s="34"/>
      <c r="E15" s="34"/>
      <c r="F15" s="144"/>
      <c r="G15" s="34"/>
      <c r="H15" s="34"/>
      <c r="I15" s="34"/>
      <c r="J15" s="34"/>
      <c r="K15" s="34"/>
      <c r="L15" s="34"/>
      <c r="M15" s="34"/>
      <c r="N15" s="144"/>
      <c r="O15" s="34"/>
      <c r="P15" s="34"/>
      <c r="Q15" s="34"/>
      <c r="R15" s="34"/>
      <c r="S15" s="11"/>
      <c r="T15" s="11"/>
      <c r="AK15" s="11"/>
      <c r="AL15" s="11"/>
    </row>
    <row r="16" spans="1:38">
      <c r="A16" s="34" t="s">
        <v>318</v>
      </c>
      <c r="B16" s="34"/>
      <c r="C16" s="34"/>
      <c r="D16" s="312">
        <f>+Z73</f>
        <v>395724588.64238232</v>
      </c>
      <c r="E16" s="34"/>
      <c r="F16" s="185">
        <f>ROUND(+D16/D$28,3)+0.001</f>
        <v>0.66100000000000003</v>
      </c>
      <c r="G16" s="34"/>
      <c r="H16" s="312">
        <v>290378177.75920331</v>
      </c>
      <c r="I16" s="34"/>
      <c r="J16" s="62">
        <f>+ROUND(H16/$H$28,3)</f>
        <v>0.55000000000000004</v>
      </c>
      <c r="K16" s="34"/>
      <c r="L16" s="312">
        <v>344928839.40844595</v>
      </c>
      <c r="M16" s="34"/>
      <c r="N16" s="185">
        <f>+ROUND(L16/$L$28,3)+0.0001</f>
        <v>0.57609999999999995</v>
      </c>
      <c r="O16" s="34"/>
      <c r="P16" s="312">
        <f>+L16-H16</f>
        <v>54550661.64924264</v>
      </c>
      <c r="Q16" s="34"/>
      <c r="R16" s="62">
        <f>+P16/H16</f>
        <v>0.18786074790537077</v>
      </c>
      <c r="S16" s="11"/>
      <c r="T16" s="11"/>
      <c r="AK16" s="11"/>
      <c r="AL16" s="11"/>
    </row>
    <row r="17" spans="1:38">
      <c r="A17" s="34"/>
      <c r="B17" s="34"/>
      <c r="C17" s="34"/>
      <c r="D17" s="34"/>
      <c r="E17" s="34"/>
      <c r="F17" s="144"/>
      <c r="G17" s="34"/>
      <c r="H17" s="312"/>
      <c r="I17" s="34"/>
      <c r="J17" s="34"/>
      <c r="K17" s="34"/>
      <c r="L17" s="34"/>
      <c r="M17" s="34"/>
      <c r="N17" s="144"/>
      <c r="O17" s="34"/>
      <c r="P17" s="34"/>
      <c r="Q17" s="34"/>
      <c r="R17" s="34"/>
      <c r="S17" s="11"/>
      <c r="T17" s="11"/>
      <c r="AK17" s="11"/>
      <c r="AL17" s="11"/>
    </row>
    <row r="18" spans="1:38">
      <c r="A18" s="34" t="s">
        <v>314</v>
      </c>
      <c r="B18" s="34"/>
      <c r="C18" s="34"/>
      <c r="D18" s="229">
        <f>+AB73</f>
        <v>121537887.95977952</v>
      </c>
      <c r="E18" s="34"/>
      <c r="F18" s="185">
        <f>ROUND(+D18/D$28,3)</f>
        <v>0.20300000000000001</v>
      </c>
      <c r="G18" s="34"/>
      <c r="H18" s="229">
        <v>119324783.20276858</v>
      </c>
      <c r="I18" s="34"/>
      <c r="J18" s="62">
        <f>+ROUND(H18/$H$28,3)</f>
        <v>0.22600000000000001</v>
      </c>
      <c r="K18" s="34"/>
      <c r="L18" s="449">
        <v>133115267.45005076</v>
      </c>
      <c r="M18" s="34"/>
      <c r="N18" s="185">
        <f>+ROUND(L18/$L$28,3)</f>
        <v>0.222</v>
      </c>
      <c r="O18" s="34"/>
      <c r="P18" s="229">
        <f>+L18-H18</f>
        <v>13790484.247282177</v>
      </c>
      <c r="Q18" s="34"/>
      <c r="R18" s="62">
        <f>+P18/H18</f>
        <v>0.11557099771845393</v>
      </c>
      <c r="S18" s="11"/>
      <c r="T18" s="11"/>
      <c r="AK18" s="11"/>
      <c r="AL18" s="11"/>
    </row>
    <row r="19" spans="1:38">
      <c r="A19" s="34"/>
      <c r="B19" s="34"/>
      <c r="C19" s="34"/>
      <c r="D19" s="34"/>
      <c r="E19" s="34"/>
      <c r="F19" s="144"/>
      <c r="G19" s="34"/>
      <c r="H19" s="229"/>
      <c r="I19" s="34"/>
      <c r="J19" s="34"/>
      <c r="K19" s="34"/>
      <c r="L19" s="34"/>
      <c r="M19" s="34"/>
      <c r="N19" s="144"/>
      <c r="O19" s="34"/>
      <c r="P19" s="34"/>
      <c r="Q19" s="34"/>
      <c r="R19" s="34"/>
      <c r="S19" s="11"/>
      <c r="T19" s="11"/>
      <c r="AK19" s="11"/>
      <c r="AL19" s="11"/>
    </row>
    <row r="20" spans="1:38">
      <c r="A20" s="34" t="s">
        <v>315</v>
      </c>
      <c r="B20" s="34"/>
      <c r="C20" s="34"/>
      <c r="D20" s="229">
        <f>+AD73</f>
        <v>24808376.203821175</v>
      </c>
      <c r="E20" s="34"/>
      <c r="F20" s="185">
        <f>ROUND(+D20/D$28,3)</f>
        <v>4.1000000000000002E-2</v>
      </c>
      <c r="G20" s="34"/>
      <c r="H20" s="229">
        <v>34184844.208332017</v>
      </c>
      <c r="I20" s="34"/>
      <c r="J20" s="62">
        <f>+ROUND(H20/$H$28,3)</f>
        <v>6.5000000000000002E-2</v>
      </c>
      <c r="K20" s="34"/>
      <c r="L20" s="229">
        <v>35475879.965263546</v>
      </c>
      <c r="M20" s="34"/>
      <c r="N20" s="185">
        <f>+ROUND(L20/$L$28,3)</f>
        <v>5.8999999999999997E-2</v>
      </c>
      <c r="O20" s="34"/>
      <c r="P20" s="229">
        <f>+L20-H20</f>
        <v>1291035.7569315284</v>
      </c>
      <c r="Q20" s="34"/>
      <c r="R20" s="62">
        <f>+P20/H20</f>
        <v>3.7766319748704862E-2</v>
      </c>
      <c r="S20" s="11"/>
      <c r="T20" s="11"/>
      <c r="AK20" s="11"/>
      <c r="AL20" s="11"/>
    </row>
    <row r="21" spans="1:38">
      <c r="A21" s="34"/>
      <c r="B21" s="34"/>
      <c r="C21" s="34"/>
      <c r="D21" s="34"/>
      <c r="E21" s="34"/>
      <c r="F21" s="144"/>
      <c r="G21" s="34"/>
      <c r="H21" s="229"/>
      <c r="I21" s="34"/>
      <c r="J21" s="34"/>
      <c r="K21" s="34"/>
      <c r="L21" s="34"/>
      <c r="M21" s="34"/>
      <c r="N21" s="144"/>
      <c r="O21" s="34"/>
      <c r="P21" s="34"/>
      <c r="Q21" s="34"/>
      <c r="R21" s="34"/>
      <c r="S21" s="11"/>
      <c r="T21" s="11"/>
      <c r="AK21" s="11"/>
      <c r="AL21" s="11"/>
    </row>
    <row r="22" spans="1:38">
      <c r="A22" s="34" t="s">
        <v>316</v>
      </c>
      <c r="B22" s="34"/>
      <c r="C22" s="34"/>
      <c r="D22" s="229">
        <f>+AF73</f>
        <v>23059965.185298745</v>
      </c>
      <c r="E22" s="34"/>
      <c r="F22" s="185">
        <f>ROUND(+D22/D$28,3)</f>
        <v>3.7999999999999999E-2</v>
      </c>
      <c r="G22" s="34"/>
      <c r="H22" s="229">
        <v>35824069.157901995</v>
      </c>
      <c r="I22" s="34"/>
      <c r="J22" s="62">
        <f>+ROUND(H22/$H$28,3)</f>
        <v>6.8000000000000005E-2</v>
      </c>
      <c r="K22" s="34"/>
      <c r="L22" s="229">
        <v>36426970.825145319</v>
      </c>
      <c r="M22" s="34"/>
      <c r="N22" s="185">
        <f>+ROUND(L22/$L$28,3)</f>
        <v>6.0999999999999999E-2</v>
      </c>
      <c r="O22" s="34"/>
      <c r="P22" s="229">
        <f>+L22-H22</f>
        <v>602901.66724332422</v>
      </c>
      <c r="Q22" s="34"/>
      <c r="R22" s="62">
        <f>+P22/H22</f>
        <v>1.6829513827307289E-2</v>
      </c>
      <c r="S22" s="11"/>
      <c r="T22" s="11"/>
      <c r="AK22" s="11"/>
      <c r="AL22" s="11"/>
    </row>
    <row r="23" spans="1:38" ht="15" customHeight="1">
      <c r="A23" s="34"/>
      <c r="B23" s="34"/>
      <c r="C23" s="34"/>
      <c r="D23" s="34"/>
      <c r="E23" s="34"/>
      <c r="F23" s="144"/>
      <c r="G23" s="34"/>
      <c r="H23" s="229"/>
      <c r="I23" s="34"/>
      <c r="J23" s="34"/>
      <c r="K23" s="34"/>
      <c r="L23" s="34"/>
      <c r="M23" s="34"/>
      <c r="N23" s="144"/>
      <c r="O23" s="34"/>
      <c r="P23" s="34"/>
      <c r="Q23" s="34"/>
      <c r="R23" s="34"/>
      <c r="S23" s="11"/>
      <c r="T23" s="11"/>
      <c r="AK23" s="11"/>
      <c r="AL23" s="11"/>
    </row>
    <row r="24" spans="1:38">
      <c r="A24" s="34" t="s">
        <v>461</v>
      </c>
      <c r="B24" s="34"/>
      <c r="C24" s="34"/>
      <c r="D24" s="229">
        <f>+AH73</f>
        <v>22644111</v>
      </c>
      <c r="E24" s="34"/>
      <c r="F24" s="185">
        <f>ROUND(+D24/D$28,3)</f>
        <v>3.7999999999999999E-2</v>
      </c>
      <c r="G24" s="34"/>
      <c r="H24" s="229">
        <v>33397805.938540325</v>
      </c>
      <c r="I24" s="34"/>
      <c r="J24" s="62">
        <f>+ROUND(H24/$H$28,3)</f>
        <v>6.3E-2</v>
      </c>
      <c r="K24" s="34"/>
      <c r="L24" s="229">
        <v>34350074</v>
      </c>
      <c r="M24" s="34"/>
      <c r="N24" s="185">
        <f>+ROUND(L24/$L$28,3)</f>
        <v>5.7000000000000002E-2</v>
      </c>
      <c r="O24" s="34"/>
      <c r="P24" s="229">
        <f>+L24-H24</f>
        <v>952268.06145967543</v>
      </c>
      <c r="Q24" s="34"/>
      <c r="R24" s="62">
        <f>+P24/H24</f>
        <v>2.8512892829309463E-2</v>
      </c>
      <c r="S24" s="11"/>
      <c r="T24" s="11"/>
      <c r="AK24" s="11"/>
      <c r="AL24" s="11"/>
    </row>
    <row r="25" spans="1:38">
      <c r="A25" s="34"/>
      <c r="B25" s="34"/>
      <c r="C25" s="34"/>
      <c r="D25" s="229"/>
      <c r="E25" s="34"/>
      <c r="F25" s="185"/>
      <c r="G25" s="34"/>
      <c r="H25" s="229"/>
      <c r="I25" s="34"/>
      <c r="J25" s="62"/>
      <c r="K25" s="34"/>
      <c r="L25" s="229"/>
      <c r="M25" s="34"/>
      <c r="N25" s="185"/>
      <c r="O25" s="34"/>
      <c r="P25" s="229"/>
      <c r="Q25" s="34"/>
      <c r="R25" s="62"/>
      <c r="S25" s="11"/>
      <c r="T25" s="11"/>
      <c r="AK25" s="11"/>
      <c r="AL25" s="11"/>
    </row>
    <row r="26" spans="1:38" ht="17.45" customHeight="1">
      <c r="A26" s="34" t="s">
        <v>424</v>
      </c>
      <c r="B26" s="34"/>
      <c r="C26" s="34"/>
      <c r="D26" s="229">
        <f>+AJ73</f>
        <v>11432390</v>
      </c>
      <c r="E26" s="34"/>
      <c r="F26" s="185">
        <f>ROUND(+D26/D$28,3)</f>
        <v>1.9E-2</v>
      </c>
      <c r="G26" s="34"/>
      <c r="H26" s="229">
        <v>15007006.79703456</v>
      </c>
      <c r="I26" s="34"/>
      <c r="J26" s="447">
        <f>+ROUND(H26/$H$28,3)</f>
        <v>2.8000000000000001E-2</v>
      </c>
      <c r="K26" s="34"/>
      <c r="L26" s="229">
        <v>14906916</v>
      </c>
      <c r="M26" s="34"/>
      <c r="N26" s="447">
        <f t="shared" ref="N26" si="0">+ROUND(L26/$L$28,3)</f>
        <v>2.5000000000000001E-2</v>
      </c>
      <c r="O26" s="34"/>
      <c r="P26" s="229">
        <f t="shared" ref="P26" si="1">+L26-H26</f>
        <v>-100090.79703455977</v>
      </c>
      <c r="Q26" s="34"/>
      <c r="R26" s="62">
        <f t="shared" ref="R26" si="2">+P26/H26</f>
        <v>-6.6696042980628279E-3</v>
      </c>
      <c r="S26" s="11"/>
      <c r="T26" s="11"/>
      <c r="AK26" s="11"/>
      <c r="AL26" s="11"/>
    </row>
    <row r="27" spans="1:38">
      <c r="A27" s="34"/>
      <c r="B27" s="34"/>
      <c r="C27" s="34"/>
      <c r="D27" s="57"/>
      <c r="E27" s="34"/>
      <c r="F27" s="57"/>
      <c r="G27" s="34"/>
      <c r="H27" s="57"/>
      <c r="I27" s="34"/>
      <c r="J27" s="144"/>
      <c r="K27" s="34"/>
      <c r="L27" s="57"/>
      <c r="M27" s="34"/>
      <c r="N27" s="144"/>
      <c r="O27" s="34"/>
      <c r="P27" s="57"/>
      <c r="Q27" s="34"/>
      <c r="R27" s="34"/>
      <c r="S27" s="11"/>
      <c r="T27" s="11"/>
      <c r="AK27" s="11"/>
      <c r="AL27" s="11"/>
    </row>
    <row r="28" spans="1:38" ht="15.75" thickBot="1">
      <c r="A28" s="34" t="s">
        <v>176</v>
      </c>
      <c r="B28" s="34"/>
      <c r="C28" s="34"/>
      <c r="D28" s="312">
        <f>SUM(D16:D26)</f>
        <v>599207318.99128175</v>
      </c>
      <c r="E28" s="34"/>
      <c r="F28" s="62">
        <f>SUM(F16:F26)</f>
        <v>1.0000000000000002</v>
      </c>
      <c r="G28" s="34"/>
      <c r="H28" s="312">
        <f>SUM(H16:H26)</f>
        <v>528116687.06378078</v>
      </c>
      <c r="I28" s="34"/>
      <c r="J28" s="62">
        <f>SUM(J16:J26)</f>
        <v>1</v>
      </c>
      <c r="K28" s="34"/>
      <c r="L28" s="312">
        <f>SUM(L16:L26)</f>
        <v>599203947.64890563</v>
      </c>
      <c r="M28" s="34"/>
      <c r="N28" s="62">
        <f>SUM(N16:N26)</f>
        <v>1.0001</v>
      </c>
      <c r="O28" s="34"/>
      <c r="P28" s="312">
        <f>SUM(P16:P26)</f>
        <v>71087260.585124776</v>
      </c>
      <c r="Q28" s="34"/>
      <c r="R28" s="62">
        <f>+P28/H28</f>
        <v>0.1346052157154041</v>
      </c>
      <c r="S28" s="11"/>
      <c r="T28" s="11"/>
      <c r="AK28" s="11"/>
      <c r="AL28" s="11"/>
    </row>
    <row r="29" spans="1:38" ht="15.75" thickTop="1">
      <c r="A29" s="34"/>
      <c r="B29" s="34"/>
      <c r="C29" s="34"/>
      <c r="D29" s="63"/>
      <c r="E29" s="34"/>
      <c r="F29" s="63"/>
      <c r="G29" s="34"/>
      <c r="H29" s="63"/>
      <c r="I29" s="34"/>
      <c r="J29" s="63"/>
      <c r="K29" s="34"/>
      <c r="L29" s="63"/>
      <c r="M29" s="34"/>
      <c r="N29" s="63"/>
      <c r="O29" s="34"/>
      <c r="P29" s="63"/>
      <c r="Q29" s="34"/>
      <c r="R29" s="34"/>
      <c r="S29" s="11"/>
      <c r="T29" s="11"/>
      <c r="AK29" s="11"/>
      <c r="AL29" s="11"/>
    </row>
    <row r="30" spans="1:38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11"/>
      <c r="T30" s="11"/>
      <c r="AK30" s="11"/>
      <c r="AL30" s="11"/>
    </row>
    <row r="31" spans="1:38">
      <c r="A31" s="34" t="s">
        <v>6</v>
      </c>
      <c r="B31" s="34"/>
      <c r="C31" s="34"/>
      <c r="D31" s="187">
        <f>+Alloc!$I$258</f>
        <v>5880000</v>
      </c>
      <c r="E31" s="34"/>
      <c r="F31" s="34"/>
      <c r="G31" s="34"/>
      <c r="H31" s="187">
        <f>+Alloc!$I$258</f>
        <v>5880000</v>
      </c>
      <c r="I31" s="34"/>
      <c r="J31" s="144"/>
      <c r="K31" s="34"/>
      <c r="L31" s="187">
        <f>+Alloc!$I$258</f>
        <v>5880000</v>
      </c>
      <c r="M31" s="34"/>
      <c r="N31" s="34"/>
      <c r="O31" s="34"/>
      <c r="P31" s="34">
        <f>+L31-H31</f>
        <v>0</v>
      </c>
      <c r="Q31" s="34"/>
      <c r="R31" s="62"/>
      <c r="S31" s="11"/>
      <c r="T31" s="11"/>
      <c r="AK31" s="11"/>
      <c r="AL31" s="11"/>
    </row>
    <row r="32" spans="1:38">
      <c r="A32" s="34"/>
      <c r="B32" s="34"/>
      <c r="C32" s="34"/>
      <c r="D32" s="57"/>
      <c r="E32" s="34"/>
      <c r="F32" s="34"/>
      <c r="G32" s="34"/>
      <c r="H32" s="57"/>
      <c r="I32" s="34"/>
      <c r="J32" s="144"/>
      <c r="K32" s="34"/>
      <c r="L32" s="57"/>
      <c r="M32" s="34"/>
      <c r="N32" s="34"/>
      <c r="O32" s="34"/>
      <c r="P32" s="57"/>
      <c r="Q32" s="34"/>
      <c r="R32" s="34"/>
      <c r="S32" s="11"/>
      <c r="T32" s="11"/>
      <c r="AK32" s="11"/>
      <c r="AL32" s="11"/>
    </row>
    <row r="33" spans="1:38" ht="15.75" thickBot="1">
      <c r="A33" s="34" t="s">
        <v>7</v>
      </c>
      <c r="B33" s="34"/>
      <c r="C33" s="34"/>
      <c r="D33" s="232">
        <f>SUM(D28:D31)</f>
        <v>605087318.99128175</v>
      </c>
      <c r="E33" s="34"/>
      <c r="F33" s="34"/>
      <c r="G33" s="34"/>
      <c r="H33" s="232">
        <f>SUM(H28:H31)</f>
        <v>533996687.06378078</v>
      </c>
      <c r="I33" s="61"/>
      <c r="J33" s="203"/>
      <c r="K33" s="61"/>
      <c r="L33" s="232">
        <f>SUM(L28:L31)</f>
        <v>605083947.64890563</v>
      </c>
      <c r="M33" s="61"/>
      <c r="N33" s="61"/>
      <c r="O33" s="61"/>
      <c r="P33" s="232">
        <f>SUM(P28:P31)</f>
        <v>71087260.585124776</v>
      </c>
      <c r="Q33" s="34"/>
      <c r="R33" s="62">
        <f>+P33/H33</f>
        <v>0.13312303672894152</v>
      </c>
      <c r="S33" s="11"/>
      <c r="T33" s="11"/>
      <c r="AK33" s="11"/>
      <c r="AL33" s="11"/>
    </row>
    <row r="34" spans="1:38" ht="15.75" thickTop="1">
      <c r="A34" s="11"/>
      <c r="B34" s="11"/>
      <c r="C34" s="11"/>
      <c r="D34" s="11"/>
      <c r="E34" s="11"/>
      <c r="F34" s="11"/>
      <c r="G34" s="11"/>
      <c r="H34" s="132"/>
      <c r="I34" s="11"/>
      <c r="J34" s="132"/>
      <c r="K34" s="11"/>
      <c r="L34" s="132"/>
      <c r="M34" s="11"/>
      <c r="N34" s="11"/>
      <c r="O34" s="11"/>
      <c r="P34" s="132"/>
      <c r="Q34" s="11"/>
      <c r="R34" s="11"/>
      <c r="S34" s="11"/>
      <c r="T34" s="11"/>
      <c r="AK34" s="11"/>
      <c r="AL34" s="11"/>
    </row>
    <row r="35" spans="1:38">
      <c r="A35" s="345"/>
      <c r="B35" s="386"/>
      <c r="C35" s="386"/>
      <c r="D35" s="11"/>
      <c r="E35" s="11"/>
      <c r="F35" s="11"/>
      <c r="G35" s="11"/>
      <c r="M35" s="11"/>
      <c r="N35" s="11"/>
      <c r="O35" s="11"/>
      <c r="P35" s="11"/>
      <c r="Q35" s="11"/>
      <c r="R35" s="11"/>
      <c r="S35" s="11"/>
      <c r="T35" s="11"/>
      <c r="AK35" s="11"/>
      <c r="AL35" s="11"/>
    </row>
    <row r="36" spans="1:38">
      <c r="A36" s="387"/>
      <c r="B36" s="11"/>
      <c r="C36" s="11"/>
      <c r="D36" s="11"/>
      <c r="E36" s="11"/>
      <c r="F36" s="11"/>
      <c r="G36" s="11"/>
      <c r="L36" s="968">
        <f>+L33-D33</f>
        <v>-3371.3423761129379</v>
      </c>
      <c r="M36" s="532"/>
      <c r="N36" s="11"/>
      <c r="O36" s="11"/>
      <c r="P36" s="11"/>
      <c r="Q36" s="11"/>
      <c r="R36" s="11"/>
      <c r="S36" s="11"/>
      <c r="T36" s="11"/>
      <c r="AK36" s="11"/>
      <c r="AL36" s="11"/>
    </row>
    <row r="37" spans="1:38">
      <c r="A37" s="387"/>
      <c r="B37" s="11"/>
      <c r="C37" s="11"/>
      <c r="D37" s="11">
        <v>266711386.60000002</v>
      </c>
      <c r="E37" s="11" t="s">
        <v>622</v>
      </c>
      <c r="F37" s="11"/>
      <c r="G37" s="11"/>
      <c r="H37" s="386">
        <v>281985000</v>
      </c>
      <c r="I37" s="11" t="s">
        <v>623</v>
      </c>
      <c r="K37" s="11"/>
      <c r="L37" s="386">
        <f>+H37</f>
        <v>281985000</v>
      </c>
      <c r="M37" s="11"/>
      <c r="N37" s="11"/>
      <c r="O37" s="11"/>
      <c r="P37" s="11"/>
      <c r="Q37" s="11"/>
      <c r="R37" s="11"/>
      <c r="S37" s="11"/>
      <c r="T37" s="11"/>
      <c r="AK37" s="11"/>
      <c r="AL37" s="11"/>
    </row>
    <row r="38" spans="1:38">
      <c r="A38" s="11"/>
      <c r="B38" s="11"/>
      <c r="C38" s="11"/>
      <c r="D38" s="11">
        <f>+D37+D33</f>
        <v>871798705.59128177</v>
      </c>
      <c r="E38" s="11"/>
      <c r="F38" s="11"/>
      <c r="G38" s="11"/>
      <c r="H38" s="11">
        <f>+H37+H33</f>
        <v>815981687.06378078</v>
      </c>
      <c r="I38" s="11"/>
      <c r="J38" s="11" t="s">
        <v>567</v>
      </c>
      <c r="K38" s="11"/>
      <c r="L38" s="11">
        <f>+L37+L33</f>
        <v>887068947.64890563</v>
      </c>
      <c r="M38" s="11"/>
      <c r="N38" s="11"/>
      <c r="O38" s="11"/>
      <c r="P38" s="11"/>
      <c r="Q38" s="11"/>
      <c r="R38" s="11"/>
      <c r="S38" s="11"/>
      <c r="T38" s="11"/>
      <c r="AK38" s="11"/>
      <c r="AL38" s="11"/>
    </row>
    <row r="39" spans="1:38">
      <c r="A39" s="11"/>
      <c r="B39" s="11"/>
      <c r="C39" s="11"/>
      <c r="D39" s="228">
        <v>871800000</v>
      </c>
      <c r="E39" s="969" t="s">
        <v>560</v>
      </c>
      <c r="F39" s="228"/>
      <c r="G39" s="228"/>
      <c r="H39" s="228"/>
      <c r="I39" s="228"/>
      <c r="J39" s="228"/>
      <c r="K39" s="228"/>
      <c r="L39" s="228">
        <v>871800000</v>
      </c>
      <c r="M39" s="11"/>
      <c r="N39" s="11"/>
      <c r="O39" s="11"/>
      <c r="P39" s="11"/>
      <c r="Q39" s="11"/>
      <c r="R39" s="11"/>
      <c r="S39" s="11"/>
      <c r="T39" s="11"/>
      <c r="U39" s="1030" t="s">
        <v>802</v>
      </c>
      <c r="V39" s="1030"/>
      <c r="W39" s="1030"/>
      <c r="X39" s="1030"/>
      <c r="Y39" s="1030"/>
      <c r="Z39" s="1030"/>
      <c r="AA39" s="1030"/>
      <c r="AB39" s="1030"/>
      <c r="AC39" s="1030"/>
      <c r="AD39" s="1030"/>
      <c r="AE39" s="1030"/>
      <c r="AF39" s="1030"/>
      <c r="AG39" s="1030"/>
      <c r="AH39" s="1030"/>
      <c r="AI39" s="1030"/>
      <c r="AJ39" s="1030"/>
      <c r="AK39" s="34"/>
      <c r="AL39" s="34"/>
    </row>
    <row r="40" spans="1:38" ht="15.75">
      <c r="A40" s="11"/>
      <c r="B40" s="11"/>
      <c r="C40" s="11"/>
      <c r="D40" s="228">
        <f>+D38-D39</f>
        <v>-1294.4087182283401</v>
      </c>
      <c r="E40" s="969" t="s">
        <v>621</v>
      </c>
      <c r="F40" s="228" t="s">
        <v>620</v>
      </c>
      <c r="G40" s="228"/>
      <c r="H40" s="228"/>
      <c r="I40" s="228"/>
      <c r="J40" s="228"/>
      <c r="K40" s="228"/>
      <c r="L40" s="228"/>
      <c r="M40" s="11"/>
      <c r="N40" s="11"/>
      <c r="O40" s="11"/>
      <c r="P40" s="11"/>
      <c r="Q40" s="11"/>
      <c r="R40" s="11"/>
      <c r="S40" s="11"/>
      <c r="T40" s="11"/>
      <c r="U40" s="96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93"/>
      <c r="AH40" s="97"/>
      <c r="AI40" s="97"/>
      <c r="AJ40" s="55"/>
      <c r="AK40" s="11"/>
      <c r="AL40" s="11"/>
    </row>
    <row r="41" spans="1:38">
      <c r="A41" s="11"/>
      <c r="B41" s="11"/>
      <c r="C41" s="11"/>
      <c r="D41" s="228"/>
      <c r="E41" s="228"/>
      <c r="F41" s="228"/>
      <c r="G41" s="228"/>
      <c r="H41" s="228"/>
      <c r="I41" s="228"/>
      <c r="J41" s="228"/>
      <c r="K41" s="228"/>
      <c r="L41" s="228"/>
      <c r="M41" s="11"/>
      <c r="N41" s="11"/>
      <c r="O41" s="11"/>
      <c r="P41" s="11"/>
      <c r="Q41" s="11"/>
      <c r="R41" s="11"/>
      <c r="S41" s="11"/>
      <c r="T41" s="11"/>
      <c r="U41" s="55" t="s">
        <v>10</v>
      </c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8"/>
      <c r="AI41" s="68"/>
      <c r="AJ41" s="55"/>
      <c r="AK41" s="11"/>
      <c r="AL41" s="11"/>
    </row>
    <row r="42" spans="1:3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238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8"/>
      <c r="AI42" s="68"/>
      <c r="AJ42" s="55"/>
      <c r="AK42" s="11"/>
      <c r="AL42" s="11"/>
    </row>
    <row r="43" spans="1:3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4"/>
      <c r="V43" s="34"/>
      <c r="W43" s="34"/>
      <c r="X43" s="60" t="s">
        <v>215</v>
      </c>
      <c r="Y43" s="34"/>
      <c r="Z43" s="34"/>
      <c r="AA43" s="34"/>
      <c r="AC43" s="34"/>
      <c r="AD43" s="60"/>
      <c r="AE43" s="60"/>
      <c r="AF43" s="60"/>
      <c r="AG43" s="34"/>
      <c r="AH43" s="69"/>
      <c r="AI43" s="69"/>
      <c r="AJ43" s="34"/>
      <c r="AK43" s="11"/>
      <c r="AL43" s="11"/>
    </row>
    <row r="44" spans="1:3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4"/>
      <c r="V44" s="34"/>
      <c r="W44" s="34"/>
      <c r="X44" s="60" t="s">
        <v>171</v>
      </c>
      <c r="Y44" s="34"/>
      <c r="Z44" s="60"/>
      <c r="AA44" s="34"/>
      <c r="AB44" s="130"/>
      <c r="AC44" s="34"/>
      <c r="AD44" s="60"/>
      <c r="AE44" s="60"/>
      <c r="AF44" s="60"/>
      <c r="AG44" s="34"/>
      <c r="AH44" s="69"/>
      <c r="AI44" s="69"/>
      <c r="AJ44" s="60"/>
      <c r="AK44" s="11"/>
      <c r="AL44" s="11"/>
    </row>
    <row r="45" spans="1:3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55" t="s">
        <v>11</v>
      </c>
      <c r="V45" s="55"/>
      <c r="W45" s="34"/>
      <c r="X45" s="60" t="s">
        <v>12</v>
      </c>
      <c r="Y45" s="34"/>
      <c r="Z45" s="60" t="s">
        <v>318</v>
      </c>
      <c r="AA45" s="34"/>
      <c r="AB45" s="129" t="s">
        <v>314</v>
      </c>
      <c r="AC45" s="34"/>
      <c r="AD45" s="60" t="s">
        <v>315</v>
      </c>
      <c r="AE45" s="60"/>
      <c r="AF45" s="60" t="s">
        <v>316</v>
      </c>
      <c r="AG45" s="34"/>
      <c r="AH45" s="69" t="s">
        <v>461</v>
      </c>
      <c r="AI45" s="69"/>
      <c r="AJ45" s="60" t="s">
        <v>424</v>
      </c>
      <c r="AK45" s="11"/>
      <c r="AL45" s="11"/>
    </row>
    <row r="46" spans="1:3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6" t="s">
        <v>173</v>
      </c>
      <c r="V46" s="56"/>
      <c r="W46" s="34"/>
      <c r="X46" s="82">
        <v>-2</v>
      </c>
      <c r="Y46" s="34"/>
      <c r="Z46" s="82">
        <f>+X46-1</f>
        <v>-3</v>
      </c>
      <c r="AA46" s="34"/>
      <c r="AB46" s="82">
        <f>+Z46-1</f>
        <v>-4</v>
      </c>
      <c r="AC46" s="34"/>
      <c r="AD46" s="82">
        <f>+AB46-1</f>
        <v>-5</v>
      </c>
      <c r="AE46" s="34"/>
      <c r="AF46" s="82">
        <f>+AD46-1</f>
        <v>-6</v>
      </c>
      <c r="AG46" s="60"/>
      <c r="AH46" s="82">
        <v>-7</v>
      </c>
      <c r="AI46" s="402"/>
      <c r="AJ46" s="82">
        <v>-8</v>
      </c>
      <c r="AK46" s="11"/>
      <c r="AL46" s="11"/>
    </row>
    <row r="47" spans="1:38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61"/>
      <c r="AI47" s="61"/>
      <c r="AJ47" s="34"/>
      <c r="AK47" s="11"/>
      <c r="AL47" s="11"/>
    </row>
    <row r="48" spans="1:3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70" t="s">
        <v>252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61"/>
      <c r="AI48" s="61"/>
      <c r="AJ48" s="34"/>
      <c r="AK48" s="11"/>
      <c r="AL48" s="11"/>
    </row>
    <row r="49" spans="1:4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4" t="s">
        <v>319</v>
      </c>
      <c r="V49" s="34"/>
      <c r="W49" s="34"/>
      <c r="X49" s="312">
        <f>+Alloc!K261</f>
        <v>174957753.9873395</v>
      </c>
      <c r="Y49" s="34"/>
      <c r="Z49" s="312">
        <f>X49</f>
        <v>174957753.9873395</v>
      </c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11"/>
      <c r="AL49" s="11"/>
    </row>
    <row r="50" spans="1:4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4" t="s">
        <v>327</v>
      </c>
      <c r="V50" s="34"/>
      <c r="W50" s="34"/>
      <c r="X50" s="229">
        <f>+Alloc!M261</f>
        <v>78285490.228214502</v>
      </c>
      <c r="Y50" s="34"/>
      <c r="Z50" s="312"/>
      <c r="AA50" s="312"/>
      <c r="AB50" s="312">
        <f>X50</f>
        <v>78285490.228214502</v>
      </c>
      <c r="AC50" s="312"/>
      <c r="AD50" s="312"/>
      <c r="AE50" s="312"/>
      <c r="AF50" s="312"/>
      <c r="AG50" s="312"/>
      <c r="AH50" s="312"/>
      <c r="AI50" s="312"/>
      <c r="AJ50" s="312"/>
      <c r="AK50" s="11"/>
      <c r="AL50" s="11"/>
    </row>
    <row r="51" spans="1:4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4" t="s">
        <v>328</v>
      </c>
      <c r="V51" s="34"/>
      <c r="W51" s="34"/>
      <c r="X51" s="229">
        <f>+Alloc!O261</f>
        <v>19475344.203821175</v>
      </c>
      <c r="Y51" s="34"/>
      <c r="Z51" s="312"/>
      <c r="AA51" s="312"/>
      <c r="AB51" s="312"/>
      <c r="AC51" s="312"/>
      <c r="AD51" s="312">
        <f>X51</f>
        <v>19475344.203821175</v>
      </c>
      <c r="AE51" s="312"/>
      <c r="AF51" s="312"/>
      <c r="AG51" s="312"/>
      <c r="AH51" s="312"/>
      <c r="AI51" s="312"/>
      <c r="AJ51" s="313"/>
      <c r="AK51" s="11"/>
      <c r="AL51" s="11"/>
    </row>
    <row r="52" spans="1:4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4" t="s">
        <v>329</v>
      </c>
      <c r="V52" s="34"/>
      <c r="W52" s="34"/>
      <c r="X52" s="229">
        <f>+Alloc!Q261</f>
        <v>19205291.185298745</v>
      </c>
      <c r="Y52" s="34"/>
      <c r="Z52" s="312"/>
      <c r="AA52" s="312"/>
      <c r="AB52" s="312"/>
      <c r="AC52" s="312"/>
      <c r="AD52" s="312"/>
      <c r="AE52" s="312"/>
      <c r="AF52" s="312">
        <f>+X52</f>
        <v>19205291.185298745</v>
      </c>
      <c r="AG52" s="312"/>
      <c r="AH52" s="312"/>
      <c r="AI52" s="312"/>
      <c r="AJ52" s="313"/>
      <c r="AK52" s="11"/>
      <c r="AL52" s="11"/>
    </row>
    <row r="53" spans="1:4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4" t="s">
        <v>463</v>
      </c>
      <c r="V53" s="34"/>
      <c r="W53" s="34"/>
      <c r="X53" s="229">
        <f>+Alloc!S261</f>
        <v>21928080</v>
      </c>
      <c r="Y53" s="34"/>
      <c r="Z53" s="312"/>
      <c r="AA53" s="312"/>
      <c r="AB53" s="312"/>
      <c r="AC53" s="312"/>
      <c r="AD53" s="312"/>
      <c r="AE53" s="312"/>
      <c r="AF53" s="312"/>
      <c r="AG53" s="312"/>
      <c r="AH53" s="312">
        <f>X53</f>
        <v>21928080</v>
      </c>
      <c r="AI53" s="312"/>
      <c r="AJ53" s="313"/>
      <c r="AK53" s="11"/>
      <c r="AL53" s="11"/>
      <c r="AM53" s="29"/>
      <c r="AN53" s="29"/>
      <c r="AO53" s="29"/>
      <c r="AP53" s="29"/>
    </row>
    <row r="54" spans="1:4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4" t="s">
        <v>428</v>
      </c>
      <c r="X54" s="267">
        <f>+Alloc!U261</f>
        <v>9378980</v>
      </c>
      <c r="Z54" s="314"/>
      <c r="AA54" s="266"/>
      <c r="AB54" s="314"/>
      <c r="AC54" s="266"/>
      <c r="AD54" s="314"/>
      <c r="AE54" s="266"/>
      <c r="AF54" s="314"/>
      <c r="AG54" s="266"/>
      <c r="AH54" s="314"/>
      <c r="AI54" s="414"/>
      <c r="AJ54" s="314">
        <f>+X54</f>
        <v>9378980</v>
      </c>
      <c r="AK54" s="132"/>
      <c r="AL54" s="132"/>
      <c r="AM54" s="29"/>
      <c r="AN54" s="29"/>
      <c r="AO54" s="29"/>
      <c r="AP54" s="29"/>
      <c r="AQ54" s="29"/>
    </row>
    <row r="55" spans="1:4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4" t="s">
        <v>360</v>
      </c>
      <c r="V55" s="34"/>
      <c r="W55" s="34"/>
      <c r="X55" s="229">
        <f>SUM(X49:X54)</f>
        <v>323230939.60467392</v>
      </c>
      <c r="Y55" s="34"/>
      <c r="Z55" s="229">
        <f>SUM(Z49:Z54)</f>
        <v>174957753.9873395</v>
      </c>
      <c r="AA55" s="229"/>
      <c r="AB55" s="229">
        <f>SUM(AB49:AB54)</f>
        <v>78285490.228214502</v>
      </c>
      <c r="AC55" s="229"/>
      <c r="AD55" s="229">
        <f>SUM(AD49:AD54)</f>
        <v>19475344.203821175</v>
      </c>
      <c r="AE55" s="229"/>
      <c r="AF55" s="229">
        <f>SUM(AF49:AF54)</f>
        <v>19205291.185298745</v>
      </c>
      <c r="AG55" s="229"/>
      <c r="AH55" s="229">
        <f>SUM(AH49:AH54)</f>
        <v>21928080</v>
      </c>
      <c r="AI55" s="229">
        <f>SUM(AI49:AI54)</f>
        <v>0</v>
      </c>
      <c r="AJ55" s="229">
        <f>SUM(AJ49:AJ54)</f>
        <v>9378980</v>
      </c>
      <c r="AK55" s="132"/>
      <c r="AL55" s="132"/>
      <c r="AM55" s="29"/>
      <c r="AN55" s="29"/>
      <c r="AO55" s="29"/>
      <c r="AP55" s="29"/>
      <c r="AQ55" s="29"/>
    </row>
    <row r="56" spans="1:4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61"/>
      <c r="AI56" s="61"/>
      <c r="AJ56" s="144"/>
      <c r="AK56" s="132"/>
      <c r="AL56" s="132"/>
      <c r="AM56" s="29"/>
      <c r="AN56" s="29"/>
      <c r="AO56" s="29"/>
      <c r="AP56" s="29"/>
      <c r="AQ56" s="29"/>
    </row>
    <row r="57" spans="1:4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70" t="s">
        <v>253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61"/>
      <c r="AI57" s="61"/>
      <c r="AJ57" s="34"/>
      <c r="AK57" s="132"/>
      <c r="AL57" s="132"/>
      <c r="AM57" s="29"/>
      <c r="AN57" s="29"/>
      <c r="AO57" s="29"/>
      <c r="AP57" s="29"/>
      <c r="AQ57" s="29"/>
    </row>
    <row r="58" spans="1:4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4" t="s">
        <v>319</v>
      </c>
      <c r="V58" s="34"/>
      <c r="W58" s="34"/>
      <c r="X58" s="312">
        <f>+Alloc!W261</f>
        <v>220766834.65504283</v>
      </c>
      <c r="Y58" s="34"/>
      <c r="Z58" s="312">
        <f>X58</f>
        <v>220766834.65504283</v>
      </c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132"/>
      <c r="AL58" s="132"/>
      <c r="AM58" s="29"/>
      <c r="AN58" s="29"/>
      <c r="AO58" s="29"/>
      <c r="AP58" s="29"/>
      <c r="AQ58" s="29"/>
    </row>
    <row r="59" spans="1:4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4" t="s">
        <v>327</v>
      </c>
      <c r="V59" s="34"/>
      <c r="W59" s="34"/>
      <c r="X59" s="229">
        <f>+Alloc!Y261</f>
        <v>43252397.731565014</v>
      </c>
      <c r="Y59" s="34"/>
      <c r="Z59" s="312"/>
      <c r="AA59" s="312"/>
      <c r="AB59" s="312">
        <f>X59</f>
        <v>43252397.731565014</v>
      </c>
      <c r="AC59" s="312"/>
      <c r="AD59" s="312"/>
      <c r="AE59" s="312"/>
      <c r="AF59" s="312"/>
      <c r="AG59" s="312"/>
      <c r="AH59" s="312"/>
      <c r="AI59" s="312"/>
      <c r="AJ59" s="312"/>
      <c r="AK59" s="132"/>
      <c r="AL59" s="132"/>
      <c r="AM59" s="29"/>
      <c r="AN59" s="29"/>
      <c r="AO59" s="29"/>
      <c r="AP59" s="29"/>
      <c r="AQ59" s="29"/>
    </row>
    <row r="60" spans="1:4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4" t="s">
        <v>328</v>
      </c>
      <c r="V60" s="34"/>
      <c r="W60" s="34"/>
      <c r="X60" s="229">
        <f>+Alloc!AA261</f>
        <v>5333032</v>
      </c>
      <c r="Y60" s="34"/>
      <c r="Z60" s="312"/>
      <c r="AA60" s="312"/>
      <c r="AB60" s="312"/>
      <c r="AC60" s="312"/>
      <c r="AD60" s="312">
        <f>X60</f>
        <v>5333032</v>
      </c>
      <c r="AE60" s="312"/>
      <c r="AF60" s="312"/>
      <c r="AG60" s="312"/>
      <c r="AH60" s="312"/>
      <c r="AI60" s="312"/>
      <c r="AJ60" s="313"/>
      <c r="AK60" s="132"/>
      <c r="AL60" s="132"/>
      <c r="AM60" s="29"/>
      <c r="AN60" s="29"/>
      <c r="AO60" s="29"/>
      <c r="AP60" s="29"/>
      <c r="AQ60" s="29"/>
    </row>
    <row r="61" spans="1:4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34" t="s">
        <v>329</v>
      </c>
      <c r="V61" s="34"/>
      <c r="W61" s="34"/>
      <c r="X61" s="229">
        <f>+Alloc!AC261</f>
        <v>3854674</v>
      </c>
      <c r="Y61" s="34"/>
      <c r="Z61" s="312"/>
      <c r="AA61" s="312"/>
      <c r="AB61" s="312"/>
      <c r="AC61" s="312"/>
      <c r="AD61" s="312"/>
      <c r="AE61" s="312"/>
      <c r="AF61" s="312">
        <f>+X61</f>
        <v>3854674</v>
      </c>
      <c r="AG61" s="312"/>
      <c r="AH61" s="312"/>
      <c r="AI61" s="312"/>
      <c r="AJ61" s="313"/>
      <c r="AK61" s="132"/>
      <c r="AL61" s="132"/>
      <c r="AM61" s="29"/>
      <c r="AN61" s="29"/>
      <c r="AO61" s="29"/>
      <c r="AP61" s="29"/>
      <c r="AQ61" s="29"/>
    </row>
    <row r="62" spans="1:4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34" t="s">
        <v>463</v>
      </c>
      <c r="V62" s="34"/>
      <c r="W62" s="34"/>
      <c r="X62" s="229">
        <f>+Alloc!AE261</f>
        <v>716031</v>
      </c>
      <c r="Y62" s="34"/>
      <c r="Z62" s="312"/>
      <c r="AA62" s="312"/>
      <c r="AB62" s="312"/>
      <c r="AC62" s="312"/>
      <c r="AD62" s="312"/>
      <c r="AE62" s="312"/>
      <c r="AF62" s="312"/>
      <c r="AG62" s="312"/>
      <c r="AH62" s="312">
        <f>X62</f>
        <v>716031</v>
      </c>
      <c r="AI62" s="312"/>
      <c r="AJ62" s="313"/>
      <c r="AK62" s="132"/>
      <c r="AL62" s="132"/>
      <c r="AM62" s="29"/>
      <c r="AN62" s="29"/>
      <c r="AO62" s="29"/>
      <c r="AP62" s="29"/>
      <c r="AQ62" s="29"/>
    </row>
    <row r="63" spans="1:4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34" t="s">
        <v>428</v>
      </c>
      <c r="X63" s="267">
        <f>+Alloc!AG261</f>
        <v>2053410</v>
      </c>
      <c r="Z63" s="314"/>
      <c r="AA63" s="266"/>
      <c r="AB63" s="314"/>
      <c r="AC63" s="266"/>
      <c r="AD63" s="314"/>
      <c r="AE63" s="266"/>
      <c r="AF63" s="314"/>
      <c r="AG63" s="266"/>
      <c r="AH63" s="314"/>
      <c r="AI63" s="414"/>
      <c r="AJ63" s="314">
        <f>ROUND(X63,0)</f>
        <v>2053410</v>
      </c>
      <c r="AK63" s="132"/>
      <c r="AL63" s="132"/>
      <c r="AM63" s="29"/>
      <c r="AN63" s="29"/>
      <c r="AO63" s="29"/>
      <c r="AP63" s="29"/>
      <c r="AQ63" s="29"/>
    </row>
    <row r="64" spans="1:4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34" t="s">
        <v>359</v>
      </c>
      <c r="V64" s="34"/>
      <c r="W64" s="34"/>
      <c r="X64" s="229">
        <f>SUM(X58:X63)</f>
        <v>275976379.38660783</v>
      </c>
      <c r="Y64" s="34"/>
      <c r="Z64" s="229">
        <f t="shared" ref="Z64:AJ64" si="3">SUM(Z58:Z63)</f>
        <v>220766834.65504283</v>
      </c>
      <c r="AA64" s="229"/>
      <c r="AB64" s="229">
        <f t="shared" si="3"/>
        <v>43252397.731565014</v>
      </c>
      <c r="AC64" s="229"/>
      <c r="AD64" s="229">
        <f t="shared" si="3"/>
        <v>5333032</v>
      </c>
      <c r="AE64" s="229"/>
      <c r="AF64" s="229">
        <f t="shared" si="3"/>
        <v>3854674</v>
      </c>
      <c r="AG64" s="229"/>
      <c r="AH64" s="229">
        <f t="shared" si="3"/>
        <v>716031</v>
      </c>
      <c r="AI64" s="229"/>
      <c r="AJ64" s="229">
        <f t="shared" si="3"/>
        <v>2053410</v>
      </c>
      <c r="AK64" s="132"/>
      <c r="AL64" s="132"/>
      <c r="AM64" s="29"/>
      <c r="AN64" s="29"/>
      <c r="AO64" s="29"/>
      <c r="AP64" s="29"/>
      <c r="AQ64" s="29"/>
    </row>
    <row r="65" spans="1:4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61"/>
      <c r="AI65" s="61"/>
      <c r="AJ65" s="34"/>
      <c r="AK65" s="132"/>
      <c r="AL65" s="132"/>
      <c r="AM65" s="29"/>
      <c r="AN65" s="29"/>
      <c r="AO65" s="29"/>
      <c r="AP65" s="29"/>
      <c r="AQ65" s="29"/>
    </row>
    <row r="66" spans="1:4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34"/>
      <c r="V66" s="34"/>
      <c r="W66" s="3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203"/>
      <c r="AI66" s="203"/>
      <c r="AJ66" s="144"/>
      <c r="AK66" s="132"/>
      <c r="AL66" s="132"/>
      <c r="AM66" s="29"/>
      <c r="AN66" s="29"/>
      <c r="AO66" s="29"/>
      <c r="AP66" s="29"/>
      <c r="AQ66" s="29"/>
    </row>
    <row r="67" spans="1:43" ht="15.75" thickBo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34" t="s">
        <v>452</v>
      </c>
      <c r="V67" s="34"/>
      <c r="W67" s="34"/>
      <c r="X67" s="398">
        <f>+X65+X64+X55</f>
        <v>599207318.99128175</v>
      </c>
      <c r="Y67" s="312"/>
      <c r="Z67" s="398">
        <f>+Z65+Z64+Z55</f>
        <v>395724588.64238232</v>
      </c>
      <c r="AA67" s="312"/>
      <c r="AB67" s="398">
        <f>+AB65+AB64+AB55</f>
        <v>121537887.95977952</v>
      </c>
      <c r="AC67" s="312"/>
      <c r="AD67" s="398">
        <f>+AD65+AD64+AD55</f>
        <v>24808376.203821175</v>
      </c>
      <c r="AE67" s="312"/>
      <c r="AF67" s="398">
        <f>+AF65+AF64+AF55</f>
        <v>23059965.185298745</v>
      </c>
      <c r="AG67" s="312"/>
      <c r="AH67" s="398">
        <f>+AH65+AH64+AH55</f>
        <v>22644111</v>
      </c>
      <c r="AI67" s="203"/>
      <c r="AJ67" s="398">
        <f>+AJ65+AJ64+AJ55</f>
        <v>11432390</v>
      </c>
      <c r="AK67" s="132"/>
      <c r="AL67" s="132"/>
      <c r="AM67" s="29"/>
      <c r="AN67" s="29"/>
      <c r="AO67" s="29"/>
      <c r="AP67" s="29"/>
      <c r="AQ67" s="29"/>
    </row>
    <row r="68" spans="1:43" ht="15.75" thickTop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132"/>
      <c r="AL68" s="132"/>
      <c r="AM68" s="29"/>
      <c r="AN68" s="29"/>
      <c r="AO68" s="29"/>
      <c r="AP68" s="29"/>
      <c r="AQ68" s="29"/>
    </row>
    <row r="69" spans="1:4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132"/>
      <c r="AL69" s="132"/>
      <c r="AM69" s="29"/>
      <c r="AN69" s="29"/>
      <c r="AO69" s="29"/>
      <c r="AP69" s="29"/>
      <c r="AQ69" s="29"/>
    </row>
    <row r="70" spans="1:4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34" t="s">
        <v>13</v>
      </c>
      <c r="V70" s="34"/>
      <c r="W70" s="34"/>
      <c r="X70" s="34">
        <f>+SUM(Z70:AH70)</f>
        <v>0</v>
      </c>
      <c r="Y70" s="34"/>
      <c r="Z70" s="34"/>
      <c r="AA70" s="34"/>
      <c r="AB70" s="34"/>
      <c r="AC70" s="34"/>
      <c r="AD70" s="34"/>
      <c r="AE70" s="34"/>
      <c r="AF70" s="34"/>
      <c r="AG70" s="34"/>
      <c r="AH70" s="34">
        <v>0</v>
      </c>
      <c r="AI70" s="34">
        <v>0</v>
      </c>
      <c r="AJ70" s="34">
        <v>0</v>
      </c>
      <c r="AK70" s="132"/>
      <c r="AL70" s="132"/>
      <c r="AM70" s="29"/>
      <c r="AN70" s="29"/>
      <c r="AO70" s="29"/>
      <c r="AP70" s="29"/>
      <c r="AQ70" s="29"/>
    </row>
    <row r="71" spans="1:4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34"/>
      <c r="V71" s="34"/>
      <c r="W71" s="34"/>
      <c r="X71" s="57"/>
      <c r="Y71" s="34"/>
      <c r="Z71" s="57"/>
      <c r="AA71" s="34"/>
      <c r="AB71" s="57"/>
      <c r="AC71" s="34"/>
      <c r="AD71" s="57"/>
      <c r="AE71" s="57"/>
      <c r="AF71" s="57"/>
      <c r="AG71" s="34"/>
      <c r="AH71" s="71"/>
      <c r="AI71" s="203"/>
      <c r="AJ71" s="57"/>
      <c r="AK71" s="132"/>
      <c r="AL71" s="132"/>
      <c r="AM71" s="29"/>
      <c r="AN71" s="29"/>
      <c r="AO71" s="29"/>
      <c r="AP71" s="29"/>
      <c r="AQ71" s="29"/>
    </row>
    <row r="72" spans="1:4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61"/>
      <c r="AI72" s="61"/>
      <c r="AJ72" s="34"/>
      <c r="AK72" s="132"/>
      <c r="AL72" s="132"/>
      <c r="AM72" s="29"/>
      <c r="AN72" s="29"/>
      <c r="AO72" s="29"/>
      <c r="AP72" s="29"/>
      <c r="AQ72" s="29"/>
    </row>
    <row r="73" spans="1:43" ht="15.75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34" t="s">
        <v>14</v>
      </c>
      <c r="V73" s="34"/>
      <c r="W73" s="34"/>
      <c r="X73" s="315">
        <f>SUM(X67:X70)</f>
        <v>599207318.99128175</v>
      </c>
      <c r="Y73" s="312"/>
      <c r="Z73" s="315">
        <f>SUM(Z67:Z70)</f>
        <v>395724588.64238232</v>
      </c>
      <c r="AA73" s="312"/>
      <c r="AB73" s="315">
        <f>SUM(AB67:AB70)</f>
        <v>121537887.95977952</v>
      </c>
      <c r="AC73" s="312"/>
      <c r="AD73" s="315">
        <f>SUM(AD67:AD70)</f>
        <v>24808376.203821175</v>
      </c>
      <c r="AE73" s="312"/>
      <c r="AF73" s="315">
        <f>SUM(AF67:AF70)</f>
        <v>23059965.185298745</v>
      </c>
      <c r="AG73" s="312"/>
      <c r="AH73" s="315">
        <f>SUM(AH67:AH70)</f>
        <v>22644111</v>
      </c>
      <c r="AI73" s="312">
        <f t="shared" ref="AI73" si="4">SUM(AI67:AI70)</f>
        <v>0</v>
      </c>
      <c r="AJ73" s="315">
        <f>SUM(AJ67:AJ70)</f>
        <v>11432390</v>
      </c>
      <c r="AK73" s="132"/>
      <c r="AL73" s="132"/>
      <c r="AM73" s="29"/>
      <c r="AN73" s="29"/>
      <c r="AO73" s="29"/>
      <c r="AP73" s="29"/>
      <c r="AQ73" s="29"/>
    </row>
    <row r="74" spans="1:43" ht="15.75" thickTop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4"/>
      <c r="Y74" s="11"/>
      <c r="Z74" s="24"/>
      <c r="AA74" s="11"/>
      <c r="AB74" s="24"/>
      <c r="AC74" s="11"/>
      <c r="AD74" s="24"/>
      <c r="AE74" s="24"/>
      <c r="AF74" s="24"/>
      <c r="AG74" s="11"/>
      <c r="AH74" s="24"/>
      <c r="AI74" s="11"/>
      <c r="AJ74" s="24"/>
      <c r="AK74" s="132"/>
      <c r="AL74" s="132"/>
      <c r="AM74" s="29"/>
      <c r="AN74" s="29"/>
      <c r="AO74" s="29"/>
      <c r="AP74" s="29"/>
      <c r="AQ74" s="29"/>
    </row>
    <row r="75" spans="1:4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32"/>
      <c r="AL75" s="132"/>
      <c r="AM75" s="29"/>
      <c r="AN75" s="29"/>
      <c r="AO75" s="29"/>
      <c r="AP75" s="29"/>
      <c r="AQ75" s="29"/>
    </row>
    <row r="76" spans="1:4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34" t="s">
        <v>15</v>
      </c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132"/>
      <c r="AL76" s="132"/>
      <c r="AM76" s="29"/>
      <c r="AN76" s="29"/>
      <c r="AO76" s="29"/>
      <c r="AP76" s="29"/>
      <c r="AQ76" s="29"/>
    </row>
    <row r="77" spans="1:4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32"/>
      <c r="AL77" s="132"/>
      <c r="AM77" s="29"/>
      <c r="AN77" s="29"/>
      <c r="AO77" s="29"/>
      <c r="AP77" s="29"/>
      <c r="AQ77" s="29"/>
    </row>
    <row r="78" spans="1:4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32"/>
      <c r="AL78" s="132"/>
      <c r="AM78" s="29"/>
      <c r="AN78" s="29"/>
      <c r="AO78" s="29"/>
      <c r="AP78" s="29"/>
      <c r="AQ78" s="29"/>
    </row>
    <row r="79" spans="1:4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41">
        <v>5.7249444</v>
      </c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132"/>
      <c r="AL79" s="132"/>
      <c r="AM79" s="29"/>
      <c r="AN79" s="29"/>
      <c r="AO79" s="29"/>
      <c r="AP79" s="29"/>
      <c r="AQ79" s="29"/>
    </row>
    <row r="80" spans="1:4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41">
        <v>5.6887236000000003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132"/>
      <c r="AL80" s="132"/>
      <c r="AM80" s="29"/>
      <c r="AN80" s="29"/>
      <c r="AO80" s="29"/>
      <c r="AP80" s="29"/>
      <c r="AQ80" s="29"/>
    </row>
    <row r="81" spans="1:4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6"/>
      <c r="AI81" s="216"/>
      <c r="AJ81" s="215"/>
      <c r="AK81" s="132"/>
      <c r="AL81" s="132"/>
      <c r="AM81" s="29"/>
      <c r="AN81" s="29"/>
      <c r="AO81" s="29"/>
      <c r="AP81" s="29"/>
      <c r="AQ81" s="29"/>
    </row>
    <row r="82" spans="1:43">
      <c r="A82" s="491" t="s">
        <v>606</v>
      </c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11"/>
      <c r="T82" s="11"/>
      <c r="U82" s="215"/>
      <c r="V82" s="215"/>
      <c r="W82" s="215"/>
      <c r="X82" s="210"/>
      <c r="Y82" s="215"/>
      <c r="Z82" s="215"/>
      <c r="AA82" s="215"/>
      <c r="AB82" s="215"/>
      <c r="AC82" s="215"/>
      <c r="AD82" s="215"/>
      <c r="AE82" s="215"/>
      <c r="AF82" s="215"/>
      <c r="AG82" s="215"/>
      <c r="AH82" s="216"/>
      <c r="AI82" s="216"/>
      <c r="AJ82" s="215"/>
      <c r="AK82" s="132"/>
      <c r="AL82" s="132"/>
      <c r="AM82" s="29"/>
      <c r="AN82" s="29"/>
      <c r="AO82" s="29"/>
      <c r="AP82" s="29"/>
      <c r="AQ82" s="29"/>
    </row>
    <row r="83" spans="1:43" ht="15.75">
      <c r="A83" s="493"/>
      <c r="B83" s="491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4"/>
      <c r="P83" s="491"/>
      <c r="Q83" s="491"/>
      <c r="R83" s="491"/>
      <c r="S83" s="11"/>
      <c r="T83" s="11"/>
      <c r="U83" s="210"/>
      <c r="V83" s="210"/>
      <c r="W83" s="210"/>
      <c r="X83" s="217"/>
      <c r="Y83" s="210"/>
      <c r="Z83" s="217"/>
      <c r="AA83" s="210"/>
      <c r="AB83" s="217"/>
      <c r="AC83" s="210"/>
      <c r="AD83" s="217"/>
      <c r="AE83" s="217"/>
      <c r="AF83" s="217"/>
      <c r="AG83" s="210"/>
      <c r="AH83" s="217"/>
      <c r="AI83" s="217"/>
      <c r="AJ83" s="217"/>
      <c r="AK83" s="132"/>
      <c r="AL83" s="132"/>
      <c r="AM83" s="29"/>
      <c r="AN83" s="29"/>
      <c r="AO83" s="29"/>
      <c r="AP83" s="29"/>
      <c r="AQ83" s="29"/>
    </row>
    <row r="84" spans="1:43">
      <c r="A84" s="491" t="s">
        <v>130</v>
      </c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11"/>
      <c r="T84" s="11"/>
      <c r="U84" s="144"/>
      <c r="V84" s="144"/>
      <c r="W84" s="144"/>
      <c r="X84" s="192"/>
      <c r="Y84" s="144"/>
      <c r="Z84" s="192"/>
      <c r="AA84" s="144"/>
      <c r="AB84" s="192"/>
      <c r="AC84" s="144"/>
      <c r="AD84" s="192"/>
      <c r="AE84" s="192"/>
      <c r="AF84" s="192"/>
      <c r="AG84" s="144"/>
      <c r="AH84" s="192"/>
      <c r="AI84" s="192"/>
      <c r="AJ84" s="192"/>
      <c r="AK84" s="132"/>
      <c r="AL84" s="132"/>
      <c r="AM84" s="29"/>
      <c r="AN84" s="29"/>
      <c r="AO84" s="29"/>
      <c r="AP84" s="29"/>
      <c r="AQ84" s="29"/>
    </row>
    <row r="85" spans="1:43">
      <c r="A85" s="491" t="s">
        <v>615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11"/>
      <c r="T85" s="11"/>
      <c r="U85" s="132"/>
      <c r="V85" s="19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132"/>
      <c r="AL85" s="132"/>
      <c r="AM85" s="29"/>
      <c r="AN85" s="29"/>
      <c r="AO85" s="29"/>
      <c r="AP85" s="29"/>
      <c r="AQ85" s="29"/>
    </row>
    <row r="86" spans="1:43" ht="15.75">
      <c r="A86" s="550" t="s">
        <v>457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11"/>
      <c r="T86" s="11"/>
      <c r="U86" s="132"/>
      <c r="V86" s="19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132"/>
      <c r="AL86" s="132"/>
      <c r="AM86" s="29"/>
      <c r="AN86" s="29"/>
      <c r="AO86" s="29"/>
      <c r="AP86" s="29"/>
      <c r="AQ86" s="29"/>
    </row>
    <row r="87" spans="1:43" ht="15.75">
      <c r="A87" s="223"/>
      <c r="B87" s="223"/>
      <c r="C87" s="223"/>
      <c r="D87" s="552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11"/>
      <c r="T87" s="11"/>
      <c r="U87" s="132"/>
      <c r="V87" s="19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132"/>
      <c r="AL87" s="132"/>
      <c r="AM87" s="29"/>
      <c r="AN87" s="29"/>
      <c r="AO87" s="29"/>
      <c r="AP87" s="29"/>
      <c r="AQ87" s="29"/>
    </row>
    <row r="88" spans="1:43" ht="15.75">
      <c r="A88" s="223"/>
      <c r="B88" s="223"/>
      <c r="C88" s="223"/>
      <c r="D88" s="553" t="s">
        <v>568</v>
      </c>
      <c r="E88" s="553"/>
      <c r="F88" s="553"/>
      <c r="G88" s="223"/>
      <c r="H88" s="491" t="s">
        <v>429</v>
      </c>
      <c r="I88" s="491"/>
      <c r="J88" s="491"/>
      <c r="K88" s="491"/>
      <c r="L88" s="491"/>
      <c r="M88" s="491"/>
      <c r="N88" s="491"/>
      <c r="O88" s="223"/>
      <c r="P88" s="491" t="s">
        <v>564</v>
      </c>
      <c r="Q88" s="491"/>
      <c r="R88" s="491"/>
      <c r="S88" s="11"/>
      <c r="T88" s="11"/>
      <c r="U88" s="132"/>
      <c r="V88" s="19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132"/>
      <c r="AL88" s="132"/>
      <c r="AM88" s="29"/>
      <c r="AN88" s="29"/>
      <c r="AO88" s="29"/>
      <c r="AP88" s="29"/>
      <c r="AQ88" s="29"/>
    </row>
    <row r="89" spans="1:43" ht="15.75">
      <c r="A89" s="491" t="s">
        <v>171</v>
      </c>
      <c r="B89" s="491"/>
      <c r="C89" s="223"/>
      <c r="D89" s="553" t="s">
        <v>569</v>
      </c>
      <c r="E89" s="553"/>
      <c r="F89" s="553"/>
      <c r="G89" s="223"/>
      <c r="H89" s="498" t="s">
        <v>4</v>
      </c>
      <c r="I89" s="498"/>
      <c r="J89" s="498"/>
      <c r="K89" s="554"/>
      <c r="L89" s="555" t="s">
        <v>563</v>
      </c>
      <c r="M89" s="498"/>
      <c r="N89" s="498"/>
      <c r="O89" s="223"/>
      <c r="P89" s="554"/>
      <c r="Q89" s="554"/>
      <c r="R89" s="499" t="s">
        <v>1</v>
      </c>
      <c r="S89" s="11"/>
      <c r="T89" s="11"/>
      <c r="U89" s="196"/>
      <c r="V89" s="19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132"/>
      <c r="AL89" s="132"/>
      <c r="AM89" s="29"/>
      <c r="AN89" s="29"/>
      <c r="AO89" s="29"/>
      <c r="AP89" s="29"/>
      <c r="AQ89" s="29"/>
    </row>
    <row r="90" spans="1:43">
      <c r="A90" s="556" t="s">
        <v>172</v>
      </c>
      <c r="B90" s="556"/>
      <c r="C90" s="223"/>
      <c r="D90" s="499" t="s">
        <v>5</v>
      </c>
      <c r="E90" s="554"/>
      <c r="F90" s="499" t="s">
        <v>1</v>
      </c>
      <c r="G90" s="223"/>
      <c r="H90" s="498" t="s">
        <v>5</v>
      </c>
      <c r="I90" s="498"/>
      <c r="J90" s="498" t="s">
        <v>1</v>
      </c>
      <c r="K90" s="223"/>
      <c r="L90" s="499" t="s">
        <v>5</v>
      </c>
      <c r="M90" s="554"/>
      <c r="N90" s="499" t="s">
        <v>1</v>
      </c>
      <c r="O90" s="223"/>
      <c r="P90" s="496" t="s">
        <v>5</v>
      </c>
      <c r="Q90" s="223"/>
      <c r="R90" s="496" t="s">
        <v>0</v>
      </c>
      <c r="S90" s="11"/>
      <c r="T90" s="11"/>
      <c r="U90" s="144"/>
      <c r="V90" s="144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132"/>
      <c r="AL90" s="132"/>
      <c r="AM90" s="29"/>
      <c r="AN90" s="29"/>
      <c r="AO90" s="29"/>
      <c r="AP90" s="29"/>
      <c r="AQ90" s="29"/>
    </row>
    <row r="91" spans="1:43">
      <c r="A91" s="491" t="s">
        <v>173</v>
      </c>
      <c r="B91" s="491"/>
      <c r="C91" s="223"/>
      <c r="D91" s="500">
        <v>-2</v>
      </c>
      <c r="E91" s="223"/>
      <c r="F91" s="500">
        <v>-3</v>
      </c>
      <c r="G91" s="223"/>
      <c r="H91" s="500">
        <v>-4</v>
      </c>
      <c r="I91" s="223"/>
      <c r="J91" s="500">
        <v>-5</v>
      </c>
      <c r="K91" s="223"/>
      <c r="L91" s="500">
        <v>-6</v>
      </c>
      <c r="M91" s="223"/>
      <c r="N91" s="500">
        <v>-7</v>
      </c>
      <c r="O91" s="223"/>
      <c r="P91" s="500">
        <v>-8</v>
      </c>
      <c r="Q91" s="223"/>
      <c r="R91" s="500">
        <v>-9</v>
      </c>
      <c r="S91" s="11"/>
      <c r="T91" s="11"/>
      <c r="U91" s="144"/>
      <c r="V91" s="144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132"/>
      <c r="AL91" s="132"/>
      <c r="AM91" s="29"/>
      <c r="AN91" s="29"/>
      <c r="AO91" s="29"/>
      <c r="AP91" s="29"/>
      <c r="AQ91" s="29"/>
    </row>
    <row r="92" spans="1:43">
      <c r="A92" s="557"/>
      <c r="B92" s="223"/>
      <c r="C92" s="223"/>
      <c r="D92" s="223"/>
      <c r="E92" s="223"/>
      <c r="F92" s="558"/>
      <c r="G92" s="223"/>
      <c r="H92" s="223"/>
      <c r="I92" s="223"/>
      <c r="J92" s="223"/>
      <c r="K92" s="223"/>
      <c r="L92" s="223"/>
      <c r="M92" s="223"/>
      <c r="N92" s="558"/>
      <c r="O92" s="223"/>
      <c r="P92" s="223"/>
      <c r="Q92" s="223"/>
      <c r="R92" s="223"/>
      <c r="S92" s="11"/>
      <c r="T92" s="11"/>
      <c r="U92" s="144"/>
      <c r="V92" s="144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132"/>
      <c r="AL92" s="132"/>
      <c r="AM92" s="29"/>
      <c r="AN92" s="29"/>
      <c r="AO92" s="29"/>
      <c r="AP92" s="29"/>
      <c r="AQ92" s="29"/>
    </row>
    <row r="93" spans="1:43">
      <c r="A93" s="223" t="s">
        <v>318</v>
      </c>
      <c r="B93" s="223"/>
      <c r="C93" s="223"/>
      <c r="D93" s="559">
        <v>250561354.82119116</v>
      </c>
      <c r="E93" s="223"/>
      <c r="F93" s="560">
        <f>ROUND(+D93/D$28,3)-0.001</f>
        <v>0.41699999999999998</v>
      </c>
      <c r="G93" s="223"/>
      <c r="H93" s="559">
        <f>+H16</f>
        <v>290378177.75920331</v>
      </c>
      <c r="I93" s="223"/>
      <c r="J93" s="561">
        <f>+ROUND(H93/$H$28,3)</f>
        <v>0.55000000000000004</v>
      </c>
      <c r="K93" s="223"/>
      <c r="L93" s="559">
        <f>+L16</f>
        <v>344928839.40844595</v>
      </c>
      <c r="M93" s="223"/>
      <c r="N93" s="560">
        <f>+ROUND(L93/$L$28,3)-0.002</f>
        <v>0.57399999999999995</v>
      </c>
      <c r="O93" s="223"/>
      <c r="P93" s="559">
        <f>+L93-H93</f>
        <v>54550661.64924264</v>
      </c>
      <c r="Q93" s="223"/>
      <c r="R93" s="561">
        <f>+P93/H93</f>
        <v>0.18786074790537077</v>
      </c>
      <c r="S93" s="11"/>
      <c r="T93" s="11"/>
      <c r="U93" s="144"/>
      <c r="V93" s="144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132"/>
      <c r="AL93" s="132"/>
      <c r="AM93" s="29"/>
      <c r="AN93" s="29"/>
      <c r="AO93" s="29"/>
      <c r="AP93" s="29"/>
      <c r="AQ93" s="29"/>
    </row>
    <row r="94" spans="1:43">
      <c r="A94" s="223"/>
      <c r="B94" s="223"/>
      <c r="C94" s="223"/>
      <c r="D94" s="559"/>
      <c r="E94" s="223"/>
      <c r="F94" s="558"/>
      <c r="G94" s="223"/>
      <c r="H94" s="559"/>
      <c r="I94" s="223"/>
      <c r="J94" s="223"/>
      <c r="K94" s="223"/>
      <c r="L94" s="559"/>
      <c r="M94" s="223"/>
      <c r="N94" s="558"/>
      <c r="O94" s="223"/>
      <c r="P94" s="223"/>
      <c r="Q94" s="223"/>
      <c r="R94" s="223"/>
      <c r="S94" s="11"/>
      <c r="T94" s="11"/>
      <c r="U94" s="144"/>
      <c r="V94" s="144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132"/>
      <c r="AL94" s="132"/>
      <c r="AM94" s="29"/>
      <c r="AN94" s="29"/>
      <c r="AO94" s="29"/>
      <c r="AP94" s="29"/>
      <c r="AQ94" s="29"/>
    </row>
    <row r="95" spans="1:43">
      <c r="A95" s="223" t="s">
        <v>314</v>
      </c>
      <c r="B95" s="223"/>
      <c r="C95" s="223"/>
      <c r="D95" s="449">
        <v>74276064.97988975</v>
      </c>
      <c r="E95" s="223"/>
      <c r="F95" s="560">
        <f>ROUND(+D95/D$28,3)</f>
        <v>0.124</v>
      </c>
      <c r="G95" s="223"/>
      <c r="H95" s="449">
        <f t="shared" ref="H95:H103" si="5">+H18</f>
        <v>119324783.20276858</v>
      </c>
      <c r="I95" s="223"/>
      <c r="J95" s="561">
        <f>+ROUND(H95/$H$28,3)</f>
        <v>0.22600000000000001</v>
      </c>
      <c r="K95" s="223"/>
      <c r="L95" s="449">
        <f t="shared" ref="L95:L101" si="6">+L18</f>
        <v>133115267.45005076</v>
      </c>
      <c r="M95" s="223"/>
      <c r="N95" s="560">
        <f>+ROUND(L95/$L$28,3)</f>
        <v>0.222</v>
      </c>
      <c r="O95" s="223"/>
      <c r="P95" s="449">
        <f>+L95-H95</f>
        <v>13790484.247282177</v>
      </c>
      <c r="Q95" s="223"/>
      <c r="R95" s="561">
        <f>+P95/H95</f>
        <v>0.11557099771845393</v>
      </c>
      <c r="S95" s="11"/>
      <c r="T95" s="11"/>
      <c r="U95" s="132"/>
      <c r="V95" s="144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132"/>
      <c r="AL95" s="132"/>
      <c r="AM95" s="29"/>
      <c r="AN95" s="29"/>
      <c r="AO95" s="29"/>
      <c r="AP95" s="29"/>
      <c r="AQ95" s="29"/>
    </row>
    <row r="96" spans="1:43">
      <c r="A96" s="223"/>
      <c r="B96" s="223"/>
      <c r="C96" s="223"/>
      <c r="D96" s="449"/>
      <c r="E96" s="223"/>
      <c r="F96" s="558"/>
      <c r="G96" s="223"/>
      <c r="H96" s="449"/>
      <c r="I96" s="223"/>
      <c r="J96" s="223"/>
      <c r="K96" s="223"/>
      <c r="L96" s="449"/>
      <c r="M96" s="223"/>
      <c r="N96" s="558"/>
      <c r="O96" s="223"/>
      <c r="P96" s="223"/>
      <c r="Q96" s="223"/>
      <c r="R96" s="223"/>
      <c r="S96" s="11"/>
      <c r="T96" s="11"/>
      <c r="U96" s="11"/>
      <c r="V96" s="34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11"/>
      <c r="AL96" s="11"/>
      <c r="AM96" s="29"/>
      <c r="AN96" s="29"/>
      <c r="AO96" s="29"/>
      <c r="AP96" s="29"/>
    </row>
    <row r="97" spans="1:38">
      <c r="A97" s="223" t="s">
        <v>315</v>
      </c>
      <c r="B97" s="223"/>
      <c r="C97" s="223"/>
      <c r="D97" s="449">
        <v>17247631.601910587</v>
      </c>
      <c r="E97" s="223"/>
      <c r="F97" s="560">
        <f>ROUND(+D97/D$28,3)</f>
        <v>2.9000000000000001E-2</v>
      </c>
      <c r="G97" s="223"/>
      <c r="H97" s="449">
        <f t="shared" si="5"/>
        <v>34184844.208332017</v>
      </c>
      <c r="I97" s="223"/>
      <c r="J97" s="561">
        <f>+ROUND(H97/$H$28,3)</f>
        <v>6.5000000000000002E-2</v>
      </c>
      <c r="K97" s="223"/>
      <c r="L97" s="449">
        <f t="shared" si="6"/>
        <v>35475879.965263546</v>
      </c>
      <c r="M97" s="223"/>
      <c r="N97" s="560">
        <f>+ROUND(L97/$L$28,3)</f>
        <v>5.8999999999999997E-2</v>
      </c>
      <c r="O97" s="223"/>
      <c r="P97" s="449">
        <f>+L97-H97</f>
        <v>1291035.7569315284</v>
      </c>
      <c r="Q97" s="223"/>
      <c r="R97" s="561">
        <f>+P97/H97</f>
        <v>3.7766319748704862E-2</v>
      </c>
      <c r="S97" s="11"/>
      <c r="T97" s="11"/>
      <c r="U97" s="11"/>
      <c r="V97" s="34"/>
      <c r="AK97" s="11"/>
      <c r="AL97" s="11"/>
    </row>
    <row r="98" spans="1:38">
      <c r="A98" s="223"/>
      <c r="B98" s="223"/>
      <c r="C98" s="223"/>
      <c r="D98" s="449"/>
      <c r="E98" s="223"/>
      <c r="F98" s="558"/>
      <c r="G98" s="223"/>
      <c r="H98" s="449"/>
      <c r="I98" s="223"/>
      <c r="J98" s="223"/>
      <c r="K98" s="223"/>
      <c r="L98" s="449"/>
      <c r="M98" s="223"/>
      <c r="N98" s="558"/>
      <c r="O98" s="223"/>
      <c r="P98" s="223"/>
      <c r="Q98" s="223"/>
      <c r="R98" s="223"/>
      <c r="S98" s="11"/>
      <c r="T98" s="11"/>
      <c r="U98" s="11"/>
      <c r="V98" s="34"/>
      <c r="AK98" s="11"/>
      <c r="AL98" s="11"/>
    </row>
    <row r="99" spans="1:38">
      <c r="A99" s="223" t="s">
        <v>316</v>
      </c>
      <c r="B99" s="223"/>
      <c r="C99" s="223"/>
      <c r="D99" s="449">
        <v>15336191.592649372</v>
      </c>
      <c r="E99" s="223"/>
      <c r="F99" s="560">
        <f>ROUND(+D99/D$28,3)</f>
        <v>2.5999999999999999E-2</v>
      </c>
      <c r="G99" s="223"/>
      <c r="H99" s="449">
        <f t="shared" si="5"/>
        <v>35824069.157901995</v>
      </c>
      <c r="I99" s="223"/>
      <c r="J99" s="561">
        <f>+ROUND(H99/$H$28,3)</f>
        <v>6.8000000000000005E-2</v>
      </c>
      <c r="K99" s="223"/>
      <c r="L99" s="449">
        <f t="shared" si="6"/>
        <v>36426970.825145319</v>
      </c>
      <c r="M99" s="223"/>
      <c r="N99" s="560">
        <f>+ROUND(L99/$L$28,3)</f>
        <v>6.0999999999999999E-2</v>
      </c>
      <c r="O99" s="223"/>
      <c r="P99" s="449">
        <f>+L99-H99</f>
        <v>602901.66724332422</v>
      </c>
      <c r="Q99" s="223"/>
      <c r="R99" s="561">
        <f>+P99/H99</f>
        <v>1.6829513827307289E-2</v>
      </c>
      <c r="S99" s="11"/>
      <c r="T99" s="11"/>
      <c r="U99" s="11"/>
      <c r="V99" s="34"/>
      <c r="AK99" s="11"/>
      <c r="AL99" s="11"/>
    </row>
    <row r="100" spans="1:38">
      <c r="A100" s="223"/>
      <c r="B100" s="223"/>
      <c r="C100" s="223"/>
      <c r="D100" s="449"/>
      <c r="E100" s="223"/>
      <c r="F100" s="558"/>
      <c r="G100" s="223"/>
      <c r="H100" s="449"/>
      <c r="I100" s="223"/>
      <c r="J100" s="223"/>
      <c r="K100" s="223"/>
      <c r="L100" s="449"/>
      <c r="M100" s="223"/>
      <c r="N100" s="558"/>
      <c r="O100" s="223"/>
      <c r="P100" s="223"/>
      <c r="Q100" s="223"/>
      <c r="R100" s="223"/>
      <c r="S100" s="11"/>
      <c r="T100" s="11"/>
      <c r="U100" s="34"/>
      <c r="V100" s="34"/>
      <c r="AK100" s="11"/>
      <c r="AL100" s="11"/>
    </row>
    <row r="101" spans="1:38">
      <c r="A101" s="223" t="s">
        <v>461</v>
      </c>
      <c r="B101" s="223"/>
      <c r="C101" s="223"/>
      <c r="D101" s="449">
        <v>18372872.194335651</v>
      </c>
      <c r="E101" s="223"/>
      <c r="F101" s="560">
        <f>ROUND(+D101/D$28,3)</f>
        <v>3.1E-2</v>
      </c>
      <c r="G101" s="223"/>
      <c r="H101" s="449">
        <f t="shared" si="5"/>
        <v>33397805.938540325</v>
      </c>
      <c r="I101" s="223"/>
      <c r="J101" s="561">
        <f>+ROUND(H101/$H$28,3)</f>
        <v>6.3E-2</v>
      </c>
      <c r="K101" s="223"/>
      <c r="L101" s="449">
        <f t="shared" si="6"/>
        <v>34350074</v>
      </c>
      <c r="M101" s="223"/>
      <c r="N101" s="560">
        <f>+ROUND(L101/$L$28,3)</f>
        <v>5.7000000000000002E-2</v>
      </c>
      <c r="O101" s="223"/>
      <c r="P101" s="449">
        <f>+L101-H101</f>
        <v>952268.06145967543</v>
      </c>
      <c r="Q101" s="223"/>
      <c r="R101" s="561">
        <f>+P101/H101</f>
        <v>2.8512892829309463E-2</v>
      </c>
      <c r="S101" s="11"/>
      <c r="T101" s="11"/>
      <c r="AK101" s="11"/>
      <c r="AL101" s="11"/>
    </row>
    <row r="102" spans="1:38">
      <c r="A102" s="223"/>
      <c r="B102" s="223"/>
      <c r="C102" s="223"/>
      <c r="D102" s="449"/>
      <c r="E102" s="223"/>
      <c r="F102" s="560"/>
      <c r="G102" s="223"/>
      <c r="H102" s="449"/>
      <c r="I102" s="223"/>
      <c r="J102" s="561"/>
      <c r="K102" s="223"/>
      <c r="L102" s="449"/>
      <c r="M102" s="223"/>
      <c r="N102" s="560"/>
      <c r="O102" s="223"/>
      <c r="P102" s="449"/>
      <c r="Q102" s="223"/>
      <c r="R102" s="561"/>
      <c r="S102" s="11"/>
      <c r="T102" s="11"/>
      <c r="AK102" s="11"/>
      <c r="AL102" s="11"/>
    </row>
    <row r="103" spans="1:38">
      <c r="A103" s="223" t="s">
        <v>424</v>
      </c>
      <c r="B103" s="223"/>
      <c r="C103" s="223"/>
      <c r="D103" s="449">
        <v>6004018.5</v>
      </c>
      <c r="E103" s="223"/>
      <c r="F103" s="560">
        <f>ROUND(+D103/D$28,3)</f>
        <v>0.01</v>
      </c>
      <c r="G103" s="223"/>
      <c r="H103" s="449">
        <f t="shared" si="5"/>
        <v>15007006.79703456</v>
      </c>
      <c r="I103" s="223"/>
      <c r="J103" s="562">
        <f>+ROUND(H103/$H$28,3)</f>
        <v>2.8000000000000001E-2</v>
      </c>
      <c r="K103" s="223"/>
      <c r="L103" s="449">
        <f>+L26</f>
        <v>14906916</v>
      </c>
      <c r="M103" s="223"/>
      <c r="N103" s="562">
        <f t="shared" ref="N103" si="7">+ROUND(L103/$L$28,3)</f>
        <v>2.5000000000000001E-2</v>
      </c>
      <c r="O103" s="223"/>
      <c r="P103" s="449">
        <f t="shared" ref="P103" si="8">+L103-H103</f>
        <v>-100090.79703455977</v>
      </c>
      <c r="Q103" s="223"/>
      <c r="R103" s="561">
        <f t="shared" ref="R103" si="9">+P103/H103</f>
        <v>-6.6696042980628279E-3</v>
      </c>
      <c r="S103" s="11"/>
      <c r="T103" s="11"/>
      <c r="AK103" s="11"/>
      <c r="AL103" s="11"/>
    </row>
    <row r="104" spans="1:38">
      <c r="A104" s="223"/>
      <c r="B104" s="223"/>
      <c r="C104" s="223"/>
      <c r="D104" s="554"/>
      <c r="E104" s="223"/>
      <c r="F104" s="554"/>
      <c r="G104" s="223"/>
      <c r="H104" s="554"/>
      <c r="I104" s="223"/>
      <c r="J104" s="558"/>
      <c r="K104" s="223"/>
      <c r="L104" s="554"/>
      <c r="M104" s="223"/>
      <c r="N104" s="558"/>
      <c r="O104" s="223"/>
      <c r="P104" s="554"/>
      <c r="Q104" s="223"/>
      <c r="R104" s="223"/>
      <c r="S104" s="11"/>
      <c r="T104" s="11"/>
      <c r="U104" s="11"/>
      <c r="V104" s="11"/>
      <c r="AK104" s="11"/>
      <c r="AL104" s="11"/>
    </row>
    <row r="105" spans="1:38" ht="15.75" thickBot="1">
      <c r="A105" s="223" t="s">
        <v>176</v>
      </c>
      <c r="B105" s="223"/>
      <c r="C105" s="223"/>
      <c r="D105" s="559">
        <f>SUM(D93:D103)</f>
        <v>381798133.68997657</v>
      </c>
      <c r="E105" s="223"/>
      <c r="F105" s="561">
        <f>SUM(F93:F103)</f>
        <v>0.63700000000000001</v>
      </c>
      <c r="G105" s="223"/>
      <c r="H105" s="559">
        <f>SUM(H93:H103)</f>
        <v>528116687.06378078</v>
      </c>
      <c r="I105" s="223"/>
      <c r="J105" s="561">
        <f>SUM(J93:J103)</f>
        <v>1</v>
      </c>
      <c r="K105" s="223"/>
      <c r="L105" s="559">
        <f>SUM(L93:L103)</f>
        <v>599203947.64890563</v>
      </c>
      <c r="M105" s="223"/>
      <c r="N105" s="561">
        <f>SUM(N93:N103)</f>
        <v>0.998</v>
      </c>
      <c r="O105" s="223"/>
      <c r="P105" s="559">
        <f>SUM(P93:P103)</f>
        <v>71087260.585124776</v>
      </c>
      <c r="Q105" s="223"/>
      <c r="R105" s="561">
        <f>+P105/H105</f>
        <v>0.1346052157154041</v>
      </c>
      <c r="S105" s="11"/>
      <c r="T105" s="11"/>
      <c r="U105" s="11"/>
      <c r="V105" s="11"/>
      <c r="AK105" s="11"/>
      <c r="AL105" s="11"/>
    </row>
    <row r="106" spans="1:38" ht="15.75" thickTop="1">
      <c r="A106" s="223"/>
      <c r="B106" s="223"/>
      <c r="C106" s="223"/>
      <c r="D106" s="563"/>
      <c r="E106" s="223"/>
      <c r="F106" s="563"/>
      <c r="G106" s="223"/>
      <c r="H106" s="563"/>
      <c r="I106" s="223"/>
      <c r="J106" s="563"/>
      <c r="K106" s="223"/>
      <c r="L106" s="563"/>
      <c r="M106" s="223"/>
      <c r="N106" s="563"/>
      <c r="O106" s="223"/>
      <c r="P106" s="563"/>
      <c r="Q106" s="223"/>
      <c r="R106" s="223"/>
      <c r="S106" s="11"/>
      <c r="T106" s="11"/>
      <c r="AK106" s="11"/>
      <c r="AL106" s="11"/>
    </row>
    <row r="107" spans="1:38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561"/>
      <c r="S107" s="11"/>
      <c r="T107" s="11"/>
      <c r="AK107" s="11"/>
      <c r="AL107" s="11"/>
    </row>
    <row r="108" spans="1:38">
      <c r="A108" s="223" t="s">
        <v>6</v>
      </c>
      <c r="B108" s="223"/>
      <c r="C108" s="223"/>
      <c r="D108" s="564">
        <f>+Alloc!$I$258</f>
        <v>5880000</v>
      </c>
      <c r="E108" s="223"/>
      <c r="F108" s="223"/>
      <c r="G108" s="223"/>
      <c r="H108" s="564">
        <f>+Alloc!$I$258</f>
        <v>5880000</v>
      </c>
      <c r="I108" s="223"/>
      <c r="J108" s="558"/>
      <c r="K108" s="223"/>
      <c r="L108" s="564">
        <f>+Alloc!$I$258</f>
        <v>5880000</v>
      </c>
      <c r="M108" s="223"/>
      <c r="N108" s="223"/>
      <c r="O108" s="223"/>
      <c r="P108" s="223">
        <f>+L108-H108</f>
        <v>0</v>
      </c>
      <c r="Q108" s="223"/>
      <c r="R108" s="561"/>
      <c r="S108" s="11"/>
      <c r="T108" s="11"/>
      <c r="AK108" s="11"/>
      <c r="AL108" s="11"/>
    </row>
    <row r="109" spans="1:38">
      <c r="A109" s="223"/>
      <c r="B109" s="223"/>
      <c r="C109" s="223"/>
      <c r="D109" s="554"/>
      <c r="E109" s="223"/>
      <c r="F109" s="223"/>
      <c r="G109" s="223"/>
      <c r="H109" s="554"/>
      <c r="I109" s="223"/>
      <c r="J109" s="558"/>
      <c r="K109" s="223"/>
      <c r="L109" s="554"/>
      <c r="M109" s="223"/>
      <c r="N109" s="223"/>
      <c r="O109" s="223"/>
      <c r="P109" s="554"/>
      <c r="Q109" s="223"/>
      <c r="R109" s="223"/>
      <c r="S109" s="11"/>
      <c r="T109" s="11"/>
      <c r="AK109" s="11"/>
      <c r="AL109" s="11"/>
    </row>
    <row r="110" spans="1:38" ht="15.75" thickBot="1">
      <c r="A110" s="223" t="s">
        <v>7</v>
      </c>
      <c r="B110" s="223"/>
      <c r="C110" s="223"/>
      <c r="D110" s="565">
        <f>SUM(D105:D108)</f>
        <v>387678133.68997657</v>
      </c>
      <c r="E110" s="223"/>
      <c r="F110" s="223"/>
      <c r="G110" s="223"/>
      <c r="H110" s="565">
        <f>SUM(H105:H108)</f>
        <v>533996687.06378078</v>
      </c>
      <c r="I110" s="566"/>
      <c r="J110" s="567"/>
      <c r="K110" s="566"/>
      <c r="L110" s="565">
        <f>SUM(L105:L108)</f>
        <v>605083947.64890563</v>
      </c>
      <c r="M110" s="566"/>
      <c r="N110" s="566"/>
      <c r="O110" s="566"/>
      <c r="P110" s="565">
        <f>SUM(P105:P108)</f>
        <v>71087260.585124776</v>
      </c>
      <c r="Q110" s="223"/>
      <c r="R110" s="561">
        <f>+P110/H110</f>
        <v>0.13312303672894152</v>
      </c>
      <c r="S110" s="11"/>
      <c r="T110" s="11"/>
      <c r="AK110" s="11"/>
      <c r="AL110" s="11"/>
    </row>
    <row r="111" spans="1:38" ht="15.75" thickTop="1">
      <c r="A111" s="228"/>
      <c r="B111" s="228"/>
      <c r="C111" s="228"/>
      <c r="D111" s="228"/>
      <c r="E111" s="228"/>
      <c r="F111" s="228"/>
      <c r="G111" s="228"/>
      <c r="H111" s="568"/>
      <c r="I111" s="228"/>
      <c r="J111" s="568"/>
      <c r="K111" s="228"/>
      <c r="L111" s="568"/>
      <c r="M111" s="228"/>
      <c r="N111" s="228"/>
      <c r="O111" s="228"/>
      <c r="P111" s="568"/>
      <c r="Q111" s="228"/>
      <c r="R111" s="228"/>
      <c r="S111" s="11"/>
      <c r="T111" s="11"/>
      <c r="AK111" s="11"/>
      <c r="AL111" s="11"/>
    </row>
    <row r="112" spans="1:38" ht="12" customHeight="1">
      <c r="A112" s="504"/>
      <c r="B112" s="505"/>
      <c r="C112" s="505"/>
      <c r="D112" s="228"/>
      <c r="E112" s="228"/>
      <c r="F112" s="228"/>
      <c r="G112" s="228"/>
      <c r="H112" s="104"/>
      <c r="I112" s="104"/>
      <c r="J112" s="104"/>
      <c r="K112" s="104"/>
      <c r="L112" s="104"/>
      <c r="M112" s="228"/>
      <c r="N112" s="228"/>
      <c r="O112" s="228"/>
      <c r="P112" s="228"/>
      <c r="Q112" s="228"/>
      <c r="R112" s="228"/>
      <c r="S112" s="11"/>
      <c r="T112" s="11"/>
      <c r="AK112" s="11"/>
      <c r="AL112" s="11"/>
    </row>
    <row r="113" spans="1:38">
      <c r="A113" s="506"/>
      <c r="B113" s="228"/>
      <c r="C113" s="228"/>
      <c r="D113" s="228"/>
      <c r="E113" s="228"/>
      <c r="F113" s="228"/>
      <c r="G113" s="228"/>
      <c r="H113" s="104"/>
      <c r="I113" s="104"/>
      <c r="J113" s="104"/>
      <c r="K113" s="104"/>
      <c r="L113" s="104"/>
      <c r="M113" s="228"/>
      <c r="N113" s="228"/>
      <c r="O113" s="228"/>
      <c r="P113" s="228"/>
      <c r="Q113" s="228"/>
      <c r="R113" s="228"/>
      <c r="S113" s="11"/>
      <c r="T113" s="11"/>
      <c r="AK113" s="11"/>
      <c r="AL113" s="11"/>
    </row>
    <row r="114" spans="1:38">
      <c r="A114" s="11"/>
      <c r="B114" s="11"/>
      <c r="C114" s="11"/>
      <c r="D114" s="11"/>
      <c r="E114" s="11"/>
      <c r="F114" s="11"/>
      <c r="G114" s="11"/>
      <c r="H114" s="464">
        <f>+H37</f>
        <v>281985000</v>
      </c>
      <c r="I114" s="463" t="s">
        <v>566</v>
      </c>
      <c r="J114" s="465"/>
      <c r="K114" s="463"/>
      <c r="L114" s="464">
        <f>+L37</f>
        <v>281985000</v>
      </c>
      <c r="M114" s="11"/>
      <c r="N114" s="11"/>
      <c r="O114" s="11"/>
      <c r="P114" s="11"/>
      <c r="Q114" s="11"/>
      <c r="R114" s="11"/>
      <c r="S114" s="11"/>
      <c r="T114" s="11"/>
      <c r="AK114" s="11"/>
      <c r="AL114" s="11"/>
    </row>
    <row r="115" spans="1:38">
      <c r="A115" s="11"/>
      <c r="B115" s="11"/>
      <c r="C115" s="11"/>
      <c r="D115" s="11"/>
      <c r="E115" s="11"/>
      <c r="F115" s="11"/>
      <c r="G115" s="11"/>
      <c r="H115" s="463">
        <f>+H114+H110</f>
        <v>815981687.06378078</v>
      </c>
      <c r="I115" s="463"/>
      <c r="J115" s="463" t="s">
        <v>567</v>
      </c>
      <c r="K115" s="463"/>
      <c r="L115" s="463">
        <f>+L114+L110</f>
        <v>887068947.64890563</v>
      </c>
      <c r="M115" s="11"/>
      <c r="N115" s="11"/>
      <c r="O115" s="11"/>
      <c r="P115" s="11"/>
      <c r="Q115" s="11"/>
      <c r="R115" s="11"/>
      <c r="S115" s="11"/>
      <c r="T115" s="11"/>
      <c r="AK115" s="11"/>
      <c r="AL115" s="11"/>
    </row>
    <row r="116" spans="1:38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AK116" s="11"/>
      <c r="AL116" s="11"/>
    </row>
    <row r="117" spans="1:38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AK117" s="11"/>
      <c r="AL117" s="11"/>
    </row>
    <row r="118" spans="1:3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AK118" s="11"/>
      <c r="AL118" s="11"/>
    </row>
    <row r="119" spans="1:3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AK119" s="11"/>
      <c r="AL119" s="11"/>
    </row>
    <row r="120" spans="1:38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AK120" s="11"/>
      <c r="AL120" s="11"/>
    </row>
    <row r="121" spans="1:38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AK121" s="11"/>
      <c r="AL121" s="11"/>
    </row>
    <row r="122" spans="1:38" ht="6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AK122" s="11"/>
      <c r="AL122" s="11"/>
    </row>
    <row r="123" spans="1:38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AK123" s="11"/>
      <c r="AL123" s="11"/>
    </row>
    <row r="124" spans="1:38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AK124" s="11"/>
      <c r="AL124" s="11"/>
    </row>
    <row r="125" spans="1:38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AK125" s="11"/>
      <c r="AL125" s="11"/>
    </row>
    <row r="126" spans="1:38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AK126" s="11"/>
      <c r="AL126" s="11"/>
    </row>
    <row r="127" spans="1:38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AK127" s="11"/>
      <c r="AL127" s="11"/>
    </row>
    <row r="128" spans="1:3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AK128" s="11"/>
      <c r="AL128" s="11"/>
    </row>
    <row r="129" spans="1:38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AK129" s="11"/>
      <c r="AL129" s="11"/>
    </row>
    <row r="130" spans="1:38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AK130" s="11"/>
      <c r="AL130" s="11"/>
    </row>
    <row r="131" spans="1:38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AK131" s="11"/>
      <c r="AL131" s="11"/>
    </row>
    <row r="132" spans="1:38" ht="6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AK132" s="11"/>
      <c r="AL132" s="11"/>
    </row>
    <row r="133" spans="1:38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AK133" s="11"/>
      <c r="AL133" s="11"/>
    </row>
    <row r="134" spans="1:38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AK134" s="11"/>
      <c r="AL134" s="11"/>
    </row>
    <row r="135" spans="1:38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AK135" s="11"/>
      <c r="AL135" s="11"/>
    </row>
    <row r="136" spans="1:38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AK136" s="11"/>
      <c r="AL136" s="11"/>
    </row>
    <row r="137" spans="1:38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AK137" s="11"/>
      <c r="AL137" s="11"/>
    </row>
    <row r="138" spans="1: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AK138" s="11"/>
      <c r="AL138" s="11"/>
    </row>
    <row r="139" spans="1:38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AK139" s="11"/>
      <c r="AL139" s="11"/>
    </row>
    <row r="140" spans="1:38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AK140" s="11"/>
      <c r="AL140" s="11"/>
    </row>
    <row r="141" spans="1:38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AK141" s="11"/>
      <c r="AL141" s="11"/>
    </row>
    <row r="142" spans="1:38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AK142" s="11"/>
      <c r="AL142" s="11"/>
    </row>
    <row r="143" spans="1:38" ht="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AK143" s="11"/>
      <c r="AL143" s="11"/>
    </row>
    <row r="144" spans="1:38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AK144" s="11"/>
      <c r="AL144" s="11"/>
    </row>
    <row r="145" spans="1:4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AK145" s="11"/>
      <c r="AL145" s="11"/>
    </row>
    <row r="146" spans="1:4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AK146" s="11"/>
      <c r="AL146" s="11"/>
    </row>
    <row r="147" spans="1:4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AK147" s="11"/>
      <c r="AL147" s="11"/>
    </row>
    <row r="148" spans="1:4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AK148" s="11"/>
      <c r="AL148" s="11"/>
    </row>
    <row r="149" spans="1:4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AK149" s="11"/>
      <c r="AL149" s="11"/>
    </row>
    <row r="150" spans="1:4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AK150" s="11"/>
      <c r="AL150" s="11"/>
    </row>
    <row r="151" spans="1:4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AK151" s="11"/>
      <c r="AL151" s="11"/>
    </row>
    <row r="152" spans="1:4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AK152" s="11"/>
      <c r="AL152" s="11"/>
    </row>
    <row r="153" spans="1:4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AK153" s="11"/>
      <c r="AL153" s="11"/>
    </row>
    <row r="154" spans="1:4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AK154" s="11"/>
      <c r="AL154" s="11"/>
    </row>
    <row r="155" spans="1:4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88"/>
      <c r="X155" s="11"/>
      <c r="Y155" s="11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11"/>
      <c r="AL155" s="11"/>
    </row>
    <row r="156" spans="1:4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88"/>
      <c r="X156" s="11"/>
      <c r="Y156" s="11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11"/>
      <c r="AL156" s="11"/>
    </row>
    <row r="157" spans="1:4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88"/>
      <c r="X157" s="11"/>
      <c r="Y157" s="11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11"/>
      <c r="AL157" s="11"/>
    </row>
    <row r="158" spans="1:4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88"/>
      <c r="X158" s="11"/>
      <c r="Y158" s="11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11"/>
      <c r="AL158" s="11"/>
    </row>
    <row r="159" spans="1:4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88"/>
      <c r="X159" s="11"/>
      <c r="Y159" s="11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11"/>
      <c r="AL159" s="11"/>
    </row>
    <row r="160" spans="1:4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88"/>
      <c r="X160" s="11"/>
      <c r="Y160" s="11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11"/>
      <c r="AL160" s="11"/>
      <c r="AM160" s="29"/>
      <c r="AN160" s="29"/>
      <c r="AO160" s="29"/>
      <c r="AP160" s="29"/>
    </row>
    <row r="161" spans="1:4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32"/>
      <c r="V161" s="132"/>
      <c r="W161" s="88"/>
      <c r="X161" s="132"/>
      <c r="Y161" s="132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32"/>
      <c r="AL161" s="132"/>
      <c r="AM161" s="29"/>
      <c r="AN161" s="29"/>
      <c r="AO161" s="29"/>
      <c r="AP161" s="29"/>
    </row>
    <row r="162" spans="1:4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32"/>
      <c r="V162" s="132"/>
      <c r="W162" s="88"/>
      <c r="X162" s="132"/>
      <c r="Y162" s="132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32"/>
      <c r="AL162" s="132"/>
      <c r="AM162" s="29"/>
      <c r="AN162" s="29"/>
      <c r="AO162" s="29"/>
      <c r="AP162" s="29"/>
    </row>
    <row r="163" spans="1:4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32"/>
      <c r="V163" s="132"/>
      <c r="W163" s="144"/>
      <c r="X163" s="132"/>
      <c r="Y163" s="132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32"/>
      <c r="AL163" s="132"/>
      <c r="AM163" s="29"/>
      <c r="AN163" s="29"/>
      <c r="AO163" s="29"/>
      <c r="AP163" s="29"/>
    </row>
    <row r="164" spans="1:4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44"/>
      <c r="V164" s="132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32"/>
      <c r="AL164" s="132"/>
      <c r="AM164" s="29"/>
      <c r="AN164" s="29"/>
      <c r="AO164" s="29"/>
      <c r="AP164" s="29"/>
    </row>
    <row r="165" spans="1:4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32"/>
      <c r="AL165" s="132"/>
      <c r="AM165" s="29"/>
      <c r="AN165" s="29"/>
      <c r="AO165" s="29"/>
      <c r="AP165" s="29"/>
    </row>
    <row r="166" spans="1:4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44"/>
      <c r="V166" s="144"/>
      <c r="W166" s="144"/>
      <c r="X166" s="144"/>
      <c r="Y166" s="144"/>
      <c r="Z166" s="192"/>
      <c r="AA166" s="144"/>
      <c r="AB166" s="192"/>
      <c r="AC166" s="144"/>
      <c r="AD166" s="192"/>
      <c r="AE166" s="192"/>
      <c r="AF166" s="192"/>
      <c r="AG166" s="144"/>
      <c r="AH166" s="192"/>
      <c r="AI166" s="192"/>
      <c r="AJ166" s="192"/>
      <c r="AK166" s="132"/>
      <c r="AL166" s="132"/>
      <c r="AM166" s="29"/>
      <c r="AN166" s="29"/>
      <c r="AO166" s="29"/>
      <c r="AP166" s="29"/>
    </row>
    <row r="167" spans="1:4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29"/>
      <c r="AN167" s="29"/>
      <c r="AO167" s="29"/>
      <c r="AP167" s="29"/>
    </row>
    <row r="168" spans="1:4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29"/>
      <c r="AN168" s="29"/>
      <c r="AO168" s="29"/>
      <c r="AP168" s="29"/>
    </row>
    <row r="169" spans="1:4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29"/>
      <c r="AN169" s="29"/>
      <c r="AO169" s="29"/>
      <c r="AP169" s="29"/>
    </row>
    <row r="170" spans="1:4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93"/>
      <c r="AI170" s="193"/>
      <c r="AJ170" s="132"/>
      <c r="AK170" s="132"/>
      <c r="AL170" s="132"/>
      <c r="AM170" s="29"/>
      <c r="AN170" s="29"/>
      <c r="AO170" s="29"/>
      <c r="AP170" s="29"/>
    </row>
    <row r="171" spans="1:4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93"/>
      <c r="AI171" s="193"/>
      <c r="AJ171" s="132"/>
      <c r="AK171" s="132"/>
      <c r="AL171" s="132"/>
      <c r="AM171" s="29"/>
      <c r="AN171" s="29"/>
      <c r="AO171" s="29"/>
      <c r="AP171" s="29"/>
    </row>
    <row r="172" spans="1:4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93"/>
      <c r="AI172" s="193"/>
      <c r="AJ172" s="132"/>
      <c r="AK172" s="132"/>
      <c r="AL172" s="132"/>
      <c r="AM172" s="29"/>
      <c r="AN172" s="29"/>
      <c r="AO172" s="29"/>
      <c r="AP172" s="29"/>
    </row>
    <row r="173" spans="1:4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93"/>
      <c r="AI173" s="193"/>
      <c r="AJ173" s="132"/>
      <c r="AK173" s="132"/>
      <c r="AL173" s="132"/>
      <c r="AM173" s="29"/>
      <c r="AN173" s="29"/>
      <c r="AO173" s="29"/>
      <c r="AP173" s="29"/>
    </row>
    <row r="174" spans="1:4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93"/>
      <c r="AI174" s="193"/>
      <c r="AJ174" s="132"/>
      <c r="AK174" s="132"/>
      <c r="AL174" s="132"/>
      <c r="AM174" s="29"/>
      <c r="AN174" s="29"/>
      <c r="AO174" s="29"/>
      <c r="AP174" s="29"/>
    </row>
    <row r="175" spans="1:4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93"/>
      <c r="AI175" s="193"/>
      <c r="AJ175" s="132"/>
      <c r="AK175" s="132"/>
      <c r="AL175" s="132"/>
      <c r="AM175" s="29"/>
      <c r="AN175" s="29"/>
      <c r="AO175" s="29"/>
      <c r="AP175" s="29"/>
    </row>
    <row r="176" spans="1:4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32"/>
      <c r="V176" s="132"/>
      <c r="W176" s="132"/>
      <c r="X176" s="132"/>
      <c r="Y176" s="132"/>
      <c r="Z176" s="194"/>
      <c r="AA176" s="132"/>
      <c r="AB176" s="194"/>
      <c r="AC176" s="132"/>
      <c r="AD176" s="194"/>
      <c r="AE176" s="194"/>
      <c r="AF176" s="194"/>
      <c r="AG176" s="132"/>
      <c r="AH176" s="193"/>
      <c r="AI176" s="193"/>
      <c r="AJ176" s="194"/>
      <c r="AK176" s="132"/>
      <c r="AL176" s="132"/>
      <c r="AM176" s="29"/>
      <c r="AN176" s="29"/>
      <c r="AO176" s="29"/>
      <c r="AP176" s="29"/>
    </row>
    <row r="177" spans="1:4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93"/>
      <c r="AI177" s="193"/>
      <c r="AJ177" s="132"/>
      <c r="AK177" s="132"/>
      <c r="AL177" s="132"/>
      <c r="AM177" s="29"/>
      <c r="AN177" s="29"/>
      <c r="AO177" s="29"/>
      <c r="AP177" s="29"/>
    </row>
    <row r="178" spans="1:4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93"/>
      <c r="AI178" s="193"/>
      <c r="AJ178" s="132"/>
      <c r="AK178" s="132"/>
      <c r="AL178" s="132"/>
      <c r="AM178" s="29"/>
      <c r="AN178" s="29"/>
      <c r="AO178" s="29"/>
      <c r="AP178" s="29"/>
    </row>
    <row r="179" spans="1:4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93"/>
      <c r="AI179" s="193"/>
      <c r="AJ179" s="195"/>
      <c r="AK179" s="132"/>
      <c r="AL179" s="132"/>
      <c r="AM179" s="29"/>
      <c r="AN179" s="29"/>
      <c r="AO179" s="29"/>
      <c r="AP179" s="29"/>
    </row>
    <row r="180" spans="1:4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93"/>
      <c r="AI180" s="193"/>
      <c r="AJ180" s="132"/>
      <c r="AK180" s="132"/>
      <c r="AL180" s="132"/>
      <c r="AM180" s="29"/>
      <c r="AN180" s="29"/>
      <c r="AO180" s="29"/>
      <c r="AP180" s="29"/>
    </row>
    <row r="181" spans="1:4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93"/>
      <c r="AI181" s="193"/>
      <c r="AJ181" s="132"/>
      <c r="AK181" s="132"/>
      <c r="AL181" s="132"/>
      <c r="AM181" s="29"/>
      <c r="AN181" s="29"/>
      <c r="AO181" s="29"/>
      <c r="AP181" s="29"/>
    </row>
    <row r="182" spans="1:4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93"/>
      <c r="AI182" s="193"/>
      <c r="AJ182" s="132"/>
      <c r="AK182" s="132"/>
      <c r="AL182" s="132"/>
      <c r="AM182" s="29"/>
      <c r="AN182" s="29"/>
      <c r="AO182" s="29"/>
      <c r="AP182" s="29"/>
    </row>
    <row r="183" spans="1:4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96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8"/>
      <c r="AI183" s="198"/>
      <c r="AJ183" s="197"/>
      <c r="AK183" s="132"/>
      <c r="AL183" s="132"/>
      <c r="AM183" s="29"/>
      <c r="AN183" s="29"/>
      <c r="AO183" s="29"/>
      <c r="AP183" s="29"/>
    </row>
    <row r="184" spans="1:4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93"/>
      <c r="AI184" s="193"/>
      <c r="AJ184" s="132"/>
      <c r="AK184" s="132"/>
      <c r="AL184" s="132"/>
      <c r="AM184" s="29"/>
      <c r="AN184" s="29"/>
      <c r="AO184" s="29"/>
      <c r="AP184" s="29"/>
    </row>
    <row r="185" spans="1:4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8"/>
      <c r="AI185" s="198"/>
      <c r="AJ185" s="197"/>
      <c r="AK185" s="132"/>
      <c r="AL185" s="132"/>
      <c r="AM185" s="29"/>
      <c r="AN185" s="29"/>
      <c r="AO185" s="29"/>
      <c r="AP185" s="29"/>
    </row>
    <row r="186" spans="1:4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32"/>
      <c r="V186" s="132"/>
      <c r="W186" s="132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200"/>
      <c r="AI186" s="200"/>
      <c r="AJ186" s="199"/>
      <c r="AK186" s="132"/>
      <c r="AL186" s="132"/>
      <c r="AM186" s="29"/>
      <c r="AN186" s="29"/>
      <c r="AO186" s="29"/>
      <c r="AP186" s="29"/>
    </row>
    <row r="187" spans="1:4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32"/>
      <c r="V187" s="132"/>
      <c r="W187" s="132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200"/>
      <c r="AI187" s="200"/>
      <c r="AJ187" s="199"/>
      <c r="AK187" s="132"/>
      <c r="AL187" s="132"/>
      <c r="AM187" s="29"/>
      <c r="AN187" s="29"/>
      <c r="AO187" s="29"/>
      <c r="AP187" s="29"/>
    </row>
    <row r="188" spans="1:4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32"/>
      <c r="V188" s="132"/>
      <c r="W188" s="132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200"/>
      <c r="AI188" s="200"/>
      <c r="AJ188" s="199"/>
      <c r="AK188" s="132"/>
      <c r="AL188" s="132"/>
      <c r="AM188" s="29"/>
      <c r="AN188" s="29"/>
      <c r="AO188" s="29"/>
      <c r="AP188" s="29"/>
    </row>
    <row r="189" spans="1:4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97"/>
      <c r="V189" s="197"/>
      <c r="W189" s="132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200"/>
      <c r="AI189" s="200"/>
      <c r="AJ189" s="199"/>
      <c r="AK189" s="132"/>
      <c r="AL189" s="132"/>
      <c r="AM189" s="29"/>
      <c r="AN189" s="29"/>
      <c r="AO189" s="29"/>
      <c r="AP189" s="29"/>
    </row>
    <row r="190" spans="1:4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97"/>
      <c r="V190" s="197"/>
      <c r="W190" s="132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200"/>
      <c r="AI190" s="200"/>
      <c r="AJ190" s="199"/>
      <c r="AK190" s="132"/>
      <c r="AL190" s="132"/>
      <c r="AM190" s="29"/>
      <c r="AN190" s="29"/>
      <c r="AO190" s="29"/>
      <c r="AP190" s="29"/>
    </row>
    <row r="191" spans="1:4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97"/>
      <c r="V191" s="197"/>
      <c r="W191" s="132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200"/>
      <c r="AI191" s="200"/>
      <c r="AJ191" s="199"/>
      <c r="AK191" s="132"/>
      <c r="AL191" s="132"/>
      <c r="AM191" s="29"/>
      <c r="AN191" s="29"/>
      <c r="AO191" s="29"/>
      <c r="AP191" s="29"/>
    </row>
    <row r="192" spans="1:4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93"/>
      <c r="AI192" s="193"/>
      <c r="AJ192" s="132"/>
      <c r="AK192" s="132"/>
      <c r="AL192" s="132"/>
      <c r="AM192" s="29"/>
      <c r="AN192" s="29"/>
      <c r="AO192" s="29"/>
      <c r="AP192" s="29"/>
    </row>
    <row r="193" spans="1:4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32"/>
      <c r="V193" s="132"/>
      <c r="W193" s="132"/>
      <c r="X193" s="193"/>
      <c r="Y193" s="193"/>
      <c r="Z193" s="193"/>
      <c r="AA193" s="193"/>
      <c r="AB193" s="193"/>
      <c r="AC193" s="132"/>
      <c r="AD193" s="145"/>
      <c r="AE193" s="145"/>
      <c r="AF193" s="145"/>
      <c r="AG193" s="132"/>
      <c r="AH193" s="193"/>
      <c r="AI193" s="193"/>
      <c r="AJ193" s="193"/>
      <c r="AK193" s="132"/>
      <c r="AL193" s="132"/>
      <c r="AM193" s="29"/>
      <c r="AN193" s="29"/>
      <c r="AO193" s="29"/>
      <c r="AP193" s="29"/>
    </row>
    <row r="194" spans="1:4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93"/>
      <c r="AI194" s="193"/>
      <c r="AJ194" s="132"/>
      <c r="AK194" s="132"/>
      <c r="AL194" s="132"/>
      <c r="AM194" s="29"/>
      <c r="AN194" s="29"/>
      <c r="AO194" s="29"/>
      <c r="AP194" s="29"/>
    </row>
    <row r="195" spans="1:4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45"/>
      <c r="AE195" s="145"/>
      <c r="AF195" s="145"/>
      <c r="AG195" s="132"/>
      <c r="AH195" s="193"/>
      <c r="AI195" s="193"/>
      <c r="AJ195" s="132"/>
      <c r="AK195" s="132"/>
      <c r="AL195" s="132"/>
      <c r="AM195" s="29"/>
      <c r="AN195" s="29"/>
      <c r="AO195" s="29"/>
      <c r="AP195" s="29"/>
    </row>
    <row r="196" spans="1:4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93"/>
      <c r="AI196" s="193"/>
      <c r="AJ196" s="132"/>
      <c r="AK196" s="132"/>
      <c r="AL196" s="132"/>
      <c r="AM196" s="29"/>
      <c r="AN196" s="29"/>
      <c r="AO196" s="29"/>
      <c r="AP196" s="29"/>
    </row>
    <row r="197" spans="1:4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45"/>
      <c r="AE197" s="145"/>
      <c r="AF197" s="145"/>
      <c r="AG197" s="132"/>
      <c r="AH197" s="193"/>
      <c r="AI197" s="193"/>
      <c r="AJ197" s="132"/>
      <c r="AK197" s="132"/>
      <c r="AL197" s="132"/>
      <c r="AM197" s="29"/>
      <c r="AN197" s="29"/>
      <c r="AO197" s="29"/>
      <c r="AP197" s="29"/>
    </row>
    <row r="198" spans="1:4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93"/>
      <c r="AI198" s="193"/>
      <c r="AJ198" s="132"/>
      <c r="AK198" s="132"/>
      <c r="AL198" s="132"/>
      <c r="AM198" s="29"/>
      <c r="AN198" s="29"/>
      <c r="AO198" s="29"/>
      <c r="AP198" s="29"/>
    </row>
    <row r="199" spans="1:4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45"/>
      <c r="AE199" s="145"/>
      <c r="AF199" s="145"/>
      <c r="AG199" s="132"/>
      <c r="AH199" s="193"/>
      <c r="AI199" s="193"/>
      <c r="AJ199" s="132"/>
      <c r="AK199" s="132"/>
      <c r="AL199" s="132"/>
      <c r="AM199" s="29"/>
      <c r="AN199" s="29"/>
      <c r="AO199" s="29"/>
      <c r="AP199" s="29"/>
    </row>
    <row r="200" spans="1:4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93"/>
      <c r="AI200" s="193"/>
      <c r="AJ200" s="132"/>
      <c r="AK200" s="132"/>
      <c r="AL200" s="132"/>
      <c r="AM200" s="29"/>
      <c r="AN200" s="29"/>
      <c r="AO200" s="29"/>
      <c r="AP200" s="29"/>
    </row>
    <row r="201" spans="1:4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93"/>
      <c r="AI201" s="193"/>
      <c r="AJ201" s="132"/>
      <c r="AK201" s="132"/>
      <c r="AL201" s="132"/>
      <c r="AM201" s="29"/>
      <c r="AN201" s="29"/>
      <c r="AO201" s="29"/>
      <c r="AP201" s="29"/>
    </row>
    <row r="202" spans="1:4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93"/>
      <c r="AI202" s="193"/>
      <c r="AJ202" s="132"/>
      <c r="AK202" s="132"/>
      <c r="AL202" s="132"/>
      <c r="AM202" s="29"/>
      <c r="AN202" s="29"/>
      <c r="AO202" s="29"/>
      <c r="AP202" s="29"/>
    </row>
    <row r="203" spans="1:4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32"/>
      <c r="V203" s="132"/>
      <c r="W203" s="132"/>
      <c r="X203" s="188"/>
      <c r="Y203" s="193"/>
      <c r="Z203" s="188"/>
      <c r="AA203" s="193"/>
      <c r="AB203" s="188"/>
      <c r="AC203" s="132"/>
      <c r="AD203" s="132"/>
      <c r="AE203" s="132"/>
      <c r="AF203" s="132"/>
      <c r="AG203" s="132"/>
      <c r="AH203" s="193"/>
      <c r="AI203" s="193"/>
      <c r="AJ203" s="188"/>
      <c r="AK203" s="132"/>
      <c r="AL203" s="132"/>
      <c r="AM203" s="29"/>
      <c r="AN203" s="29"/>
      <c r="AO203" s="29"/>
      <c r="AP203" s="29"/>
    </row>
    <row r="204" spans="1:4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93"/>
      <c r="AI204" s="193"/>
      <c r="AJ204" s="132"/>
      <c r="AK204" s="132"/>
      <c r="AL204" s="132"/>
      <c r="AM204" s="29"/>
      <c r="AN204" s="29"/>
      <c r="AO204" s="29"/>
      <c r="AP204" s="29"/>
    </row>
    <row r="205" spans="1:4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93"/>
      <c r="AI205" s="193"/>
      <c r="AJ205" s="132"/>
      <c r="AK205" s="132"/>
      <c r="AL205" s="132"/>
      <c r="AM205" s="29"/>
      <c r="AN205" s="29"/>
      <c r="AO205" s="29"/>
      <c r="AP205" s="29"/>
    </row>
    <row r="206" spans="1:4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93"/>
      <c r="AI206" s="193"/>
      <c r="AJ206" s="132"/>
      <c r="AK206" s="132"/>
      <c r="AL206" s="132"/>
      <c r="AM206" s="29"/>
      <c r="AN206" s="29"/>
      <c r="AO206" s="29"/>
      <c r="AP206" s="29"/>
    </row>
    <row r="207" spans="1:4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93"/>
      <c r="AI207" s="193"/>
      <c r="AJ207" s="132"/>
      <c r="AK207" s="132"/>
      <c r="AL207" s="132"/>
      <c r="AM207" s="29"/>
      <c r="AN207" s="29"/>
      <c r="AO207" s="29"/>
      <c r="AP207" s="29"/>
    </row>
    <row r="208" spans="1:4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93"/>
      <c r="AI208" s="193"/>
      <c r="AJ208" s="132"/>
      <c r="AK208" s="132"/>
      <c r="AL208" s="132"/>
      <c r="AM208" s="29"/>
      <c r="AN208" s="29"/>
      <c r="AO208" s="29"/>
      <c r="AP208" s="29"/>
    </row>
    <row r="209" spans="1:4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93"/>
      <c r="AI209" s="193"/>
      <c r="AJ209" s="132"/>
      <c r="AK209" s="132"/>
      <c r="AL209" s="132"/>
      <c r="AM209" s="29"/>
      <c r="AN209" s="29"/>
      <c r="AO209" s="29"/>
      <c r="AP209" s="29"/>
    </row>
    <row r="210" spans="1:4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93"/>
      <c r="AI210" s="193"/>
      <c r="AJ210" s="132"/>
      <c r="AK210" s="132"/>
      <c r="AL210" s="132"/>
      <c r="AM210" s="29"/>
      <c r="AN210" s="29"/>
      <c r="AO210" s="29"/>
      <c r="AP210" s="29"/>
    </row>
    <row r="211" spans="1:4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93"/>
      <c r="AI211" s="193"/>
      <c r="AJ211" s="195"/>
      <c r="AK211" s="132"/>
      <c r="AL211" s="132"/>
      <c r="AM211" s="29"/>
      <c r="AN211" s="29"/>
      <c r="AO211" s="29"/>
      <c r="AP211" s="29"/>
    </row>
    <row r="212" spans="1:4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93"/>
      <c r="AI212" s="193"/>
      <c r="AJ212" s="132"/>
      <c r="AK212" s="132"/>
      <c r="AL212" s="132"/>
      <c r="AM212" s="29"/>
      <c r="AN212" s="29"/>
      <c r="AO212" s="29"/>
      <c r="AP212" s="29"/>
    </row>
    <row r="213" spans="1:4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93"/>
      <c r="AI213" s="193"/>
      <c r="AJ213" s="132"/>
      <c r="AK213" s="132"/>
      <c r="AL213" s="132"/>
      <c r="AM213" s="29"/>
      <c r="AN213" s="29"/>
      <c r="AO213" s="29"/>
      <c r="AP213" s="29"/>
    </row>
    <row r="214" spans="1:4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96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8"/>
      <c r="AI214" s="198"/>
      <c r="AJ214" s="197"/>
      <c r="AK214" s="132"/>
      <c r="AL214" s="132"/>
      <c r="AM214" s="29"/>
      <c r="AN214" s="29"/>
      <c r="AO214" s="29"/>
      <c r="AP214" s="29"/>
    </row>
    <row r="215" spans="1:4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8"/>
      <c r="AI215" s="198"/>
      <c r="AJ215" s="197"/>
      <c r="AK215" s="132"/>
      <c r="AL215" s="132"/>
      <c r="AM215" s="29"/>
      <c r="AN215" s="29"/>
      <c r="AO215" s="29"/>
      <c r="AP215" s="29"/>
    </row>
    <row r="216" spans="1:4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8"/>
      <c r="AI216" s="198"/>
      <c r="AJ216" s="197"/>
      <c r="AK216" s="132"/>
      <c r="AL216" s="132"/>
      <c r="AM216" s="29"/>
      <c r="AN216" s="29"/>
      <c r="AO216" s="29"/>
      <c r="AP216" s="29"/>
    </row>
    <row r="217" spans="1:4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201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8"/>
      <c r="AI217" s="198"/>
      <c r="AJ217" s="197"/>
      <c r="AK217" s="132"/>
      <c r="AL217" s="132"/>
      <c r="AM217" s="29"/>
      <c r="AN217" s="29"/>
      <c r="AO217" s="29"/>
      <c r="AP217" s="29"/>
    </row>
    <row r="218" spans="1:4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93"/>
      <c r="AI218" s="193"/>
      <c r="AJ218" s="132"/>
      <c r="AK218" s="132"/>
      <c r="AL218" s="132"/>
      <c r="AM218" s="29"/>
      <c r="AN218" s="29"/>
      <c r="AO218" s="29"/>
      <c r="AP218" s="29"/>
    </row>
    <row r="219" spans="1:4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32"/>
      <c r="V219" s="132"/>
      <c r="W219" s="132"/>
      <c r="X219" s="199"/>
      <c r="Y219" s="132"/>
      <c r="Z219" s="132"/>
      <c r="AA219" s="132"/>
      <c r="AB219" s="199"/>
      <c r="AC219" s="132"/>
      <c r="AD219" s="199"/>
      <c r="AE219" s="199"/>
      <c r="AF219" s="199"/>
      <c r="AG219" s="132"/>
      <c r="AH219" s="193"/>
      <c r="AI219" s="193"/>
      <c r="AJ219" s="132"/>
      <c r="AK219" s="132"/>
      <c r="AL219" s="132"/>
      <c r="AM219" s="29"/>
      <c r="AN219" s="29"/>
      <c r="AO219" s="29"/>
      <c r="AP219" s="29"/>
    </row>
    <row r="220" spans="1:4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32"/>
      <c r="V220" s="132"/>
      <c r="W220" s="132"/>
      <c r="X220" s="199"/>
      <c r="Y220" s="132"/>
      <c r="Z220" s="199"/>
      <c r="AA220" s="132"/>
      <c r="AB220" s="199"/>
      <c r="AC220" s="132"/>
      <c r="AD220" s="199"/>
      <c r="AE220" s="199"/>
      <c r="AF220" s="199"/>
      <c r="AG220" s="132"/>
      <c r="AH220" s="193"/>
      <c r="AI220" s="193"/>
      <c r="AJ220" s="199"/>
      <c r="AK220" s="132"/>
      <c r="AL220" s="132"/>
      <c r="AM220" s="29"/>
      <c r="AN220" s="29"/>
      <c r="AO220" s="29"/>
      <c r="AP220" s="29"/>
    </row>
    <row r="221" spans="1:4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97"/>
      <c r="V221" s="197"/>
      <c r="W221" s="132"/>
      <c r="X221" s="199"/>
      <c r="Y221" s="132"/>
      <c r="Z221" s="199"/>
      <c r="AA221" s="132"/>
      <c r="AB221" s="199"/>
      <c r="AC221" s="132"/>
      <c r="AD221" s="199"/>
      <c r="AE221" s="199"/>
      <c r="AF221" s="199"/>
      <c r="AG221" s="132"/>
      <c r="AH221" s="193"/>
      <c r="AI221" s="193"/>
      <c r="AJ221" s="199"/>
      <c r="AK221" s="132"/>
      <c r="AL221" s="132"/>
      <c r="AM221" s="29"/>
      <c r="AN221" s="29"/>
      <c r="AO221" s="29"/>
      <c r="AP221" s="29"/>
    </row>
    <row r="222" spans="1:4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97"/>
      <c r="V222" s="197"/>
      <c r="W222" s="132"/>
      <c r="X222" s="199"/>
      <c r="Y222" s="132"/>
      <c r="Z222" s="199"/>
      <c r="AA222" s="132"/>
      <c r="AB222" s="199"/>
      <c r="AC222" s="132"/>
      <c r="AD222" s="199"/>
      <c r="AE222" s="199"/>
      <c r="AF222" s="199"/>
      <c r="AG222" s="132"/>
      <c r="AH222" s="193"/>
      <c r="AI222" s="193"/>
      <c r="AJ222" s="199"/>
      <c r="AK222" s="132"/>
      <c r="AL222" s="132"/>
      <c r="AM222" s="29"/>
      <c r="AN222" s="29"/>
      <c r="AO222" s="29"/>
      <c r="AP222" s="29"/>
    </row>
    <row r="223" spans="1:4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93"/>
      <c r="AI223" s="193"/>
      <c r="AJ223" s="132"/>
      <c r="AK223" s="132"/>
      <c r="AL223" s="132"/>
      <c r="AM223" s="29"/>
      <c r="AN223" s="29"/>
      <c r="AO223" s="29"/>
      <c r="AP223" s="29"/>
    </row>
    <row r="224" spans="1:4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20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93"/>
      <c r="AI224" s="193"/>
      <c r="AJ224" s="132"/>
      <c r="AK224" s="132"/>
      <c r="AL224" s="132"/>
      <c r="AM224" s="29"/>
      <c r="AN224" s="29"/>
      <c r="AO224" s="29"/>
      <c r="AP224" s="29"/>
    </row>
    <row r="225" spans="1:4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32"/>
      <c r="V225" s="132"/>
      <c r="W225" s="132"/>
      <c r="X225" s="193"/>
      <c r="Y225" s="132"/>
      <c r="Z225" s="193"/>
      <c r="AA225" s="132"/>
      <c r="AB225" s="132"/>
      <c r="AC225" s="132"/>
      <c r="AD225" s="132"/>
      <c r="AE225" s="132"/>
      <c r="AF225" s="132"/>
      <c r="AG225" s="132"/>
      <c r="AH225" s="193"/>
      <c r="AI225" s="193"/>
      <c r="AJ225" s="132"/>
      <c r="AK225" s="132"/>
      <c r="AL225" s="132"/>
      <c r="AM225" s="29"/>
      <c r="AN225" s="29"/>
      <c r="AO225" s="29"/>
      <c r="AP225" s="29"/>
    </row>
    <row r="226" spans="1:4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32"/>
      <c r="V226" s="132"/>
      <c r="W226" s="132"/>
      <c r="X226" s="132"/>
      <c r="Y226" s="132"/>
      <c r="Z226" s="132"/>
      <c r="AA226" s="132"/>
      <c r="AB226" s="193"/>
      <c r="AC226" s="132"/>
      <c r="AD226" s="132"/>
      <c r="AE226" s="132"/>
      <c r="AF226" s="132"/>
      <c r="AG226" s="132"/>
      <c r="AH226" s="193"/>
      <c r="AI226" s="193"/>
      <c r="AJ226" s="132"/>
      <c r="AK226" s="132"/>
      <c r="AL226" s="132"/>
      <c r="AM226" s="29"/>
      <c r="AN226" s="29"/>
      <c r="AO226" s="29"/>
      <c r="AP226" s="29"/>
    </row>
    <row r="227" spans="1:4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32"/>
      <c r="V227" s="132"/>
      <c r="W227" s="132"/>
      <c r="X227" s="132"/>
      <c r="Y227" s="132"/>
      <c r="Z227" s="132"/>
      <c r="AA227" s="132"/>
      <c r="AB227" s="193"/>
      <c r="AC227" s="132"/>
      <c r="AD227" s="193"/>
      <c r="AE227" s="193"/>
      <c r="AF227" s="193"/>
      <c r="AG227" s="132"/>
      <c r="AH227" s="193"/>
      <c r="AI227" s="193"/>
      <c r="AJ227" s="132"/>
      <c r="AK227" s="132"/>
      <c r="AL227" s="132"/>
      <c r="AM227" s="29"/>
      <c r="AN227" s="29"/>
      <c r="AO227" s="29"/>
      <c r="AP227" s="29"/>
    </row>
    <row r="228" spans="1:4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93"/>
      <c r="AI228" s="193"/>
      <c r="AJ228" s="193"/>
      <c r="AK228" s="132"/>
      <c r="AL228" s="132"/>
      <c r="AM228" s="29"/>
      <c r="AN228" s="29"/>
      <c r="AO228" s="29"/>
      <c r="AP228" s="29"/>
    </row>
    <row r="229" spans="1:4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93"/>
      <c r="AI229" s="193"/>
      <c r="AJ229" s="132"/>
      <c r="AK229" s="132"/>
      <c r="AL229" s="132"/>
      <c r="AM229" s="29"/>
      <c r="AN229" s="29"/>
      <c r="AO229" s="29"/>
      <c r="AP229" s="29"/>
    </row>
    <row r="230" spans="1:4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93"/>
      <c r="AI230" s="193"/>
      <c r="AJ230" s="132"/>
      <c r="AK230" s="132"/>
      <c r="AL230" s="132"/>
      <c r="AM230" s="29"/>
      <c r="AN230" s="29"/>
      <c r="AO230" s="29"/>
      <c r="AP230" s="29"/>
    </row>
    <row r="231" spans="1:4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0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93"/>
      <c r="AI231" s="193"/>
      <c r="AJ231" s="132"/>
      <c r="AK231" s="132"/>
      <c r="AL231" s="132"/>
      <c r="AM231" s="29"/>
      <c r="AN231" s="29"/>
      <c r="AO231" s="29"/>
      <c r="AP231" s="29"/>
    </row>
    <row r="232" spans="1:4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93"/>
      <c r="AI232" s="193"/>
      <c r="AJ232" s="132"/>
      <c r="AK232" s="132"/>
      <c r="AL232" s="132"/>
      <c r="AM232" s="29"/>
      <c r="AN232" s="29"/>
      <c r="AO232" s="29"/>
      <c r="AP232" s="29"/>
    </row>
    <row r="233" spans="1:4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93"/>
      <c r="AI233" s="193"/>
      <c r="AJ233" s="132"/>
      <c r="AK233" s="132"/>
      <c r="AL233" s="132"/>
      <c r="AM233" s="29"/>
      <c r="AN233" s="29"/>
      <c r="AO233" s="29"/>
      <c r="AP233" s="29"/>
    </row>
    <row r="234" spans="1:4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93"/>
      <c r="AI234" s="193"/>
      <c r="AJ234" s="132"/>
      <c r="AK234" s="132"/>
      <c r="AL234" s="132"/>
      <c r="AM234" s="29"/>
      <c r="AN234" s="29"/>
      <c r="AO234" s="29"/>
      <c r="AP234" s="29"/>
    </row>
    <row r="235" spans="1:4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93"/>
      <c r="AI235" s="193"/>
      <c r="AJ235" s="132"/>
      <c r="AK235" s="132"/>
      <c r="AL235" s="132"/>
      <c r="AM235" s="29"/>
      <c r="AN235" s="29"/>
      <c r="AO235" s="29"/>
      <c r="AP235" s="29"/>
    </row>
    <row r="236" spans="1:4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93"/>
      <c r="AI236" s="193"/>
      <c r="AJ236" s="132"/>
      <c r="AK236" s="132"/>
      <c r="AL236" s="132"/>
      <c r="AM236" s="29"/>
      <c r="AN236" s="29"/>
      <c r="AO236" s="29"/>
      <c r="AP236" s="29"/>
    </row>
    <row r="237" spans="1:4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93"/>
      <c r="AI237" s="193"/>
      <c r="AJ237" s="132"/>
      <c r="AK237" s="132"/>
      <c r="AL237" s="132"/>
      <c r="AM237" s="29"/>
      <c r="AN237" s="29"/>
      <c r="AO237" s="29"/>
      <c r="AP237" s="29"/>
    </row>
    <row r="238" spans="1:4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93"/>
      <c r="AI238" s="193"/>
      <c r="AJ238" s="132"/>
      <c r="AK238" s="132"/>
      <c r="AL238" s="132"/>
      <c r="AM238" s="29"/>
      <c r="AN238" s="29"/>
      <c r="AO238" s="29"/>
      <c r="AP238" s="29"/>
    </row>
    <row r="239" spans="1:4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93"/>
      <c r="AI239" s="193"/>
      <c r="AJ239" s="132"/>
      <c r="AK239" s="132"/>
      <c r="AL239" s="132"/>
      <c r="AM239" s="29"/>
      <c r="AN239" s="29"/>
      <c r="AO239" s="29"/>
      <c r="AP239" s="29"/>
    </row>
    <row r="240" spans="1:4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93"/>
      <c r="AI240" s="193"/>
      <c r="AJ240" s="132"/>
      <c r="AK240" s="132"/>
      <c r="AL240" s="132"/>
      <c r="AM240" s="29"/>
      <c r="AN240" s="29"/>
      <c r="AO240" s="29"/>
      <c r="AP240" s="29"/>
    </row>
    <row r="241" spans="1:4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93"/>
      <c r="AI241" s="193"/>
      <c r="AJ241" s="132"/>
      <c r="AK241" s="132"/>
      <c r="AL241" s="132"/>
      <c r="AM241" s="29"/>
      <c r="AN241" s="29"/>
      <c r="AO241" s="29"/>
      <c r="AP241" s="29"/>
    </row>
    <row r="242" spans="1: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93"/>
      <c r="AI242" s="193"/>
      <c r="AJ242" s="132"/>
      <c r="AK242" s="132"/>
      <c r="AL242" s="132"/>
      <c r="AM242" s="29"/>
      <c r="AN242" s="29"/>
      <c r="AO242" s="29"/>
      <c r="AP242" s="29"/>
    </row>
    <row r="243" spans="1:4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93"/>
      <c r="AI243" s="193"/>
      <c r="AJ243" s="132"/>
      <c r="AK243" s="132"/>
      <c r="AL243" s="132"/>
      <c r="AM243" s="29"/>
      <c r="AN243" s="29"/>
      <c r="AO243" s="29"/>
      <c r="AP243" s="29"/>
    </row>
    <row r="244" spans="1:4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32"/>
      <c r="V244" s="132"/>
      <c r="W244" s="132"/>
      <c r="X244" s="188"/>
      <c r="Y244" s="132"/>
      <c r="Z244" s="188"/>
      <c r="AA244" s="132"/>
      <c r="AB244" s="188"/>
      <c r="AC244" s="132"/>
      <c r="AD244" s="188"/>
      <c r="AE244" s="188"/>
      <c r="AF244" s="188"/>
      <c r="AG244" s="132"/>
      <c r="AH244" s="193"/>
      <c r="AI244" s="193"/>
      <c r="AJ244" s="188"/>
      <c r="AK244" s="132"/>
      <c r="AL244" s="132"/>
      <c r="AM244" s="29"/>
      <c r="AN244" s="29"/>
      <c r="AO244" s="29"/>
      <c r="AP244" s="29"/>
    </row>
    <row r="245" spans="1:4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93"/>
      <c r="AI245" s="193"/>
      <c r="AJ245" s="132"/>
      <c r="AK245" s="132"/>
      <c r="AL245" s="132"/>
      <c r="AM245" s="29"/>
      <c r="AN245" s="29"/>
      <c r="AO245" s="29"/>
      <c r="AP245" s="29"/>
    </row>
    <row r="246" spans="1:4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93"/>
      <c r="AI246" s="193"/>
      <c r="AJ246" s="132"/>
      <c r="AK246" s="132"/>
      <c r="AL246" s="132"/>
      <c r="AM246" s="29"/>
      <c r="AN246" s="29"/>
      <c r="AO246" s="29"/>
      <c r="AP246" s="29"/>
    </row>
    <row r="247" spans="1:4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93"/>
      <c r="AI247" s="193"/>
      <c r="AJ247" s="132"/>
      <c r="AK247" s="132"/>
      <c r="AL247" s="132"/>
      <c r="AM247" s="29"/>
      <c r="AN247" s="29"/>
      <c r="AO247" s="29"/>
      <c r="AP247" s="29"/>
    </row>
    <row r="248" spans="1:4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93"/>
      <c r="AI248" s="193"/>
      <c r="AJ248" s="132"/>
      <c r="AK248" s="132"/>
      <c r="AL248" s="132"/>
      <c r="AM248" s="29"/>
      <c r="AN248" s="29"/>
      <c r="AO248" s="29"/>
      <c r="AP248" s="29"/>
    </row>
    <row r="249" spans="1:4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93"/>
      <c r="AI249" s="193"/>
      <c r="AJ249" s="132"/>
      <c r="AK249" s="132"/>
      <c r="AL249" s="132"/>
      <c r="AM249" s="29"/>
      <c r="AN249" s="29"/>
      <c r="AO249" s="29"/>
      <c r="AP249" s="29"/>
    </row>
    <row r="250" spans="1:4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93"/>
      <c r="AI250" s="193"/>
      <c r="AJ250" s="132"/>
      <c r="AK250" s="132"/>
      <c r="AL250" s="132"/>
      <c r="AM250" s="29"/>
      <c r="AN250" s="29"/>
      <c r="AO250" s="29"/>
      <c r="AP250" s="29"/>
    </row>
    <row r="251" spans="1:4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93"/>
      <c r="AI251" s="193"/>
      <c r="AJ251" s="132"/>
      <c r="AK251" s="132"/>
      <c r="AL251" s="132"/>
      <c r="AM251" s="29"/>
      <c r="AN251" s="29"/>
      <c r="AO251" s="29"/>
      <c r="AP251" s="29"/>
    </row>
    <row r="252" spans="1:4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93"/>
      <c r="AI252" s="193"/>
      <c r="AJ252" s="132"/>
      <c r="AK252" s="132"/>
      <c r="AL252" s="132"/>
      <c r="AM252" s="29"/>
      <c r="AN252" s="29"/>
      <c r="AO252" s="29"/>
      <c r="AP252" s="29"/>
    </row>
    <row r="253" spans="1:4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93"/>
      <c r="AI253" s="193"/>
      <c r="AJ253" s="132"/>
      <c r="AK253" s="132"/>
      <c r="AL253" s="132"/>
      <c r="AM253" s="29"/>
      <c r="AN253" s="29"/>
      <c r="AO253" s="29"/>
      <c r="AP253" s="29"/>
    </row>
    <row r="254" spans="1:4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93"/>
      <c r="AI254" s="193"/>
      <c r="AJ254" s="132"/>
      <c r="AK254" s="132"/>
      <c r="AL254" s="132"/>
      <c r="AM254" s="29"/>
      <c r="AN254" s="29"/>
      <c r="AO254" s="29"/>
      <c r="AP254" s="29"/>
    </row>
    <row r="255" spans="1:4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93"/>
      <c r="AI255" s="193"/>
      <c r="AJ255" s="132"/>
      <c r="AK255" s="132"/>
      <c r="AL255" s="132"/>
      <c r="AM255" s="29"/>
      <c r="AN255" s="29"/>
      <c r="AO255" s="29"/>
      <c r="AP255" s="29"/>
    </row>
    <row r="256" spans="1:4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93"/>
      <c r="AI256" s="193"/>
      <c r="AJ256" s="132"/>
      <c r="AK256" s="132"/>
      <c r="AL256" s="132"/>
      <c r="AM256" s="29"/>
      <c r="AN256" s="29"/>
      <c r="AO256" s="29"/>
      <c r="AP256" s="29"/>
    </row>
    <row r="257" spans="1:4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93"/>
      <c r="AI257" s="193"/>
      <c r="AJ257" s="132"/>
      <c r="AK257" s="132"/>
      <c r="AL257" s="132"/>
      <c r="AM257" s="29"/>
      <c r="AN257" s="29"/>
      <c r="AO257" s="29"/>
      <c r="AP257" s="29"/>
    </row>
    <row r="258" spans="1:4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93"/>
      <c r="AI258" s="193"/>
      <c r="AJ258" s="132"/>
      <c r="AK258" s="132"/>
      <c r="AL258" s="132"/>
      <c r="AM258" s="29"/>
      <c r="AN258" s="29"/>
      <c r="AO258" s="29"/>
      <c r="AP258" s="29"/>
    </row>
    <row r="259" spans="1:4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93"/>
      <c r="AI259" s="193"/>
      <c r="AJ259" s="132"/>
      <c r="AK259" s="132"/>
      <c r="AL259" s="132"/>
      <c r="AM259" s="29"/>
      <c r="AN259" s="29"/>
      <c r="AO259" s="29"/>
      <c r="AP259" s="29"/>
    </row>
    <row r="260" spans="1:4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93"/>
      <c r="AI260" s="193"/>
      <c r="AJ260" s="132"/>
      <c r="AK260" s="132"/>
      <c r="AL260" s="132"/>
      <c r="AM260" s="29"/>
      <c r="AN260" s="29"/>
      <c r="AO260" s="29"/>
      <c r="AP260" s="29"/>
    </row>
    <row r="261" spans="1:4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93"/>
      <c r="AI261" s="193"/>
      <c r="AJ261" s="195"/>
      <c r="AK261" s="132"/>
      <c r="AL261" s="132"/>
      <c r="AM261" s="29"/>
      <c r="AN261" s="29"/>
      <c r="AO261" s="29"/>
      <c r="AP261" s="29"/>
    </row>
    <row r="262" spans="1:4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93"/>
      <c r="AI262" s="193"/>
      <c r="AJ262" s="195"/>
      <c r="AK262" s="132"/>
      <c r="AL262" s="132"/>
      <c r="AM262" s="29"/>
      <c r="AN262" s="29"/>
      <c r="AO262" s="29"/>
      <c r="AP262" s="29"/>
    </row>
    <row r="263" spans="1:4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93"/>
      <c r="AI263" s="193"/>
      <c r="AJ263" s="132"/>
      <c r="AK263" s="132"/>
      <c r="AL263" s="132"/>
      <c r="AM263" s="29"/>
      <c r="AN263" s="29"/>
      <c r="AO263" s="29"/>
      <c r="AP263" s="29"/>
    </row>
    <row r="264" spans="1:4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96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8"/>
      <c r="AI264" s="198"/>
      <c r="AJ264" s="197"/>
      <c r="AK264" s="132"/>
      <c r="AL264" s="132"/>
      <c r="AM264" s="29"/>
      <c r="AN264" s="29"/>
      <c r="AO264" s="29"/>
      <c r="AP264" s="29"/>
    </row>
    <row r="265" spans="1:4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8"/>
      <c r="AI265" s="198"/>
      <c r="AJ265" s="197"/>
      <c r="AK265" s="132"/>
      <c r="AL265" s="132"/>
      <c r="AM265" s="29"/>
      <c r="AN265" s="29"/>
      <c r="AO265" s="29"/>
      <c r="AP265" s="29"/>
    </row>
    <row r="266" spans="1:4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8"/>
      <c r="AI266" s="198"/>
      <c r="AJ266" s="197"/>
      <c r="AK266" s="132"/>
      <c r="AL266" s="132"/>
      <c r="AM266" s="29"/>
      <c r="AN266" s="29"/>
      <c r="AO266" s="29"/>
      <c r="AP266" s="29"/>
    </row>
    <row r="267" spans="1:4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8"/>
      <c r="AI267" s="198"/>
      <c r="AJ267" s="197"/>
      <c r="AK267" s="132"/>
      <c r="AL267" s="132"/>
      <c r="AM267" s="29"/>
      <c r="AN267" s="29"/>
      <c r="AO267" s="29"/>
      <c r="AP267" s="29"/>
    </row>
    <row r="268" spans="1:4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93"/>
      <c r="AI268" s="193"/>
      <c r="AJ268" s="132"/>
      <c r="AK268" s="132"/>
      <c r="AL268" s="132"/>
      <c r="AM268" s="29"/>
      <c r="AN268" s="29"/>
      <c r="AO268" s="29"/>
      <c r="AP268" s="29"/>
    </row>
    <row r="269" spans="1:4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32"/>
      <c r="V269" s="132"/>
      <c r="W269" s="132"/>
      <c r="X269" s="199"/>
      <c r="Y269" s="132"/>
      <c r="Z269" s="132"/>
      <c r="AA269" s="132"/>
      <c r="AB269" s="199"/>
      <c r="AC269" s="132"/>
      <c r="AD269" s="199"/>
      <c r="AE269" s="199"/>
      <c r="AF269" s="199"/>
      <c r="AG269" s="132"/>
      <c r="AH269" s="193"/>
      <c r="AI269" s="193"/>
      <c r="AJ269" s="132"/>
      <c r="AK269" s="132"/>
      <c r="AL269" s="132"/>
      <c r="AM269" s="29"/>
      <c r="AN269" s="29"/>
      <c r="AO269" s="29"/>
      <c r="AP269" s="29"/>
    </row>
    <row r="270" spans="1:4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32"/>
      <c r="V270" s="132"/>
      <c r="W270" s="132"/>
      <c r="X270" s="199"/>
      <c r="Y270" s="132"/>
      <c r="Z270" s="199"/>
      <c r="AA270" s="132"/>
      <c r="AB270" s="199"/>
      <c r="AC270" s="132"/>
      <c r="AD270" s="199"/>
      <c r="AE270" s="199"/>
      <c r="AF270" s="199"/>
      <c r="AG270" s="132"/>
      <c r="AH270" s="193"/>
      <c r="AI270" s="193"/>
      <c r="AJ270" s="199"/>
      <c r="AK270" s="132"/>
      <c r="AL270" s="132"/>
      <c r="AM270" s="29"/>
      <c r="AN270" s="29"/>
      <c r="AO270" s="29"/>
      <c r="AP270" s="29"/>
    </row>
    <row r="271" spans="1:4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97"/>
      <c r="V271" s="197"/>
      <c r="W271" s="132"/>
      <c r="X271" s="199"/>
      <c r="Y271" s="132"/>
      <c r="Z271" s="199"/>
      <c r="AA271" s="132"/>
      <c r="AB271" s="199"/>
      <c r="AC271" s="132"/>
      <c r="AD271" s="199"/>
      <c r="AE271" s="199"/>
      <c r="AF271" s="199"/>
      <c r="AG271" s="132"/>
      <c r="AH271" s="193"/>
      <c r="AI271" s="193"/>
      <c r="AJ271" s="199"/>
      <c r="AK271" s="132"/>
      <c r="AL271" s="132"/>
      <c r="AM271" s="29"/>
      <c r="AN271" s="29"/>
      <c r="AO271" s="29"/>
      <c r="AP271" s="29"/>
    </row>
    <row r="272" spans="1:4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97"/>
      <c r="V272" s="197"/>
      <c r="W272" s="132"/>
      <c r="X272" s="199"/>
      <c r="Y272" s="132"/>
      <c r="Z272" s="199"/>
      <c r="AA272" s="132"/>
      <c r="AB272" s="199"/>
      <c r="AC272" s="132"/>
      <c r="AD272" s="199"/>
      <c r="AE272" s="199"/>
      <c r="AF272" s="199"/>
      <c r="AG272" s="132"/>
      <c r="AH272" s="193"/>
      <c r="AI272" s="193"/>
      <c r="AJ272" s="199"/>
      <c r="AK272" s="132"/>
      <c r="AL272" s="132"/>
      <c r="AM272" s="29"/>
      <c r="AN272" s="29"/>
      <c r="AO272" s="29"/>
      <c r="AP272" s="29"/>
    </row>
    <row r="273" spans="1:4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93"/>
      <c r="AI273" s="193"/>
      <c r="AJ273" s="132"/>
      <c r="AK273" s="132"/>
      <c r="AL273" s="132"/>
      <c r="AM273" s="29"/>
      <c r="AN273" s="29"/>
      <c r="AO273" s="29"/>
      <c r="AP273" s="29"/>
    </row>
    <row r="274" spans="1:4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20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93"/>
      <c r="AI274" s="193"/>
      <c r="AJ274" s="132"/>
      <c r="AK274" s="132"/>
      <c r="AL274" s="132"/>
      <c r="AM274" s="29"/>
      <c r="AN274" s="29"/>
      <c r="AO274" s="29"/>
      <c r="AP274" s="29"/>
    </row>
    <row r="275" spans="1:4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32"/>
      <c r="V275" s="132"/>
      <c r="W275" s="132"/>
      <c r="X275" s="193"/>
      <c r="Y275" s="132"/>
      <c r="Z275" s="193"/>
      <c r="AA275" s="132"/>
      <c r="AB275" s="132"/>
      <c r="AC275" s="132"/>
      <c r="AD275" s="132"/>
      <c r="AE275" s="132"/>
      <c r="AF275" s="132"/>
      <c r="AG275" s="132"/>
      <c r="AH275" s="193"/>
      <c r="AI275" s="193"/>
      <c r="AJ275" s="132"/>
      <c r="AK275" s="132"/>
      <c r="AL275" s="132"/>
      <c r="AM275" s="29"/>
      <c r="AN275" s="29"/>
      <c r="AO275" s="29"/>
      <c r="AP275" s="29"/>
    </row>
    <row r="276" spans="1:4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32"/>
      <c r="V276" s="132"/>
      <c r="W276" s="132"/>
      <c r="X276" s="132"/>
      <c r="Y276" s="132"/>
      <c r="Z276" s="132"/>
      <c r="AA276" s="132"/>
      <c r="AB276" s="193"/>
      <c r="AC276" s="132"/>
      <c r="AD276" s="132"/>
      <c r="AE276" s="132"/>
      <c r="AF276" s="132"/>
      <c r="AG276" s="132"/>
      <c r="AH276" s="193"/>
      <c r="AI276" s="193"/>
      <c r="AJ276" s="132"/>
      <c r="AK276" s="132"/>
      <c r="AL276" s="132"/>
      <c r="AM276" s="29"/>
      <c r="AN276" s="29"/>
      <c r="AO276" s="29"/>
      <c r="AP276" s="29"/>
    </row>
    <row r="277" spans="1:4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32"/>
      <c r="V277" s="132"/>
      <c r="W277" s="132"/>
      <c r="X277" s="132"/>
      <c r="Y277" s="132"/>
      <c r="Z277" s="132"/>
      <c r="AA277" s="132"/>
      <c r="AB277" s="193"/>
      <c r="AC277" s="132"/>
      <c r="AD277" s="193"/>
      <c r="AE277" s="193"/>
      <c r="AF277" s="193"/>
      <c r="AG277" s="132"/>
      <c r="AH277" s="193"/>
      <c r="AI277" s="193"/>
      <c r="AJ277" s="132"/>
      <c r="AK277" s="132"/>
      <c r="AL277" s="132"/>
      <c r="AM277" s="29"/>
      <c r="AN277" s="29"/>
      <c r="AO277" s="29"/>
      <c r="AP277" s="29"/>
    </row>
    <row r="278" spans="1:4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93"/>
      <c r="AI278" s="193"/>
      <c r="AJ278" s="193"/>
      <c r="AK278" s="132"/>
      <c r="AL278" s="132"/>
      <c r="AM278" s="29"/>
      <c r="AN278" s="29"/>
      <c r="AO278" s="29"/>
      <c r="AP278" s="29"/>
    </row>
    <row r="279" spans="1:4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93"/>
      <c r="AI279" s="193"/>
      <c r="AJ279" s="132"/>
      <c r="AK279" s="132"/>
      <c r="AL279" s="132"/>
      <c r="AM279" s="29"/>
      <c r="AN279" s="29"/>
      <c r="AO279" s="29"/>
      <c r="AP279" s="29"/>
    </row>
    <row r="280" spans="1:4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93"/>
      <c r="AI280" s="193"/>
      <c r="AJ280" s="132"/>
      <c r="AK280" s="132"/>
      <c r="AL280" s="132"/>
      <c r="AM280" s="29"/>
      <c r="AN280" s="29"/>
      <c r="AO280" s="29"/>
      <c r="AP280" s="29"/>
    </row>
    <row r="281" spans="1:4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0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93"/>
      <c r="AI281" s="193"/>
      <c r="AJ281" s="132"/>
      <c r="AK281" s="132"/>
      <c r="AL281" s="132"/>
      <c r="AM281" s="29"/>
      <c r="AN281" s="29"/>
      <c r="AO281" s="29"/>
      <c r="AP281" s="29"/>
    </row>
    <row r="282" spans="1:4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93"/>
      <c r="AI282" s="193"/>
      <c r="AJ282" s="132"/>
      <c r="AK282" s="132"/>
      <c r="AL282" s="132"/>
      <c r="AM282" s="29"/>
      <c r="AN282" s="29"/>
      <c r="AO282" s="29"/>
      <c r="AP282" s="29"/>
    </row>
    <row r="283" spans="1:4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93"/>
      <c r="AI283" s="193"/>
      <c r="AJ283" s="132"/>
      <c r="AK283" s="132"/>
      <c r="AL283" s="132"/>
      <c r="AM283" s="29"/>
      <c r="AN283" s="29"/>
      <c r="AO283" s="29"/>
      <c r="AP283" s="29"/>
    </row>
    <row r="284" spans="1:4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93"/>
      <c r="AI284" s="193"/>
      <c r="AJ284" s="132"/>
      <c r="AK284" s="132"/>
      <c r="AL284" s="132"/>
      <c r="AM284" s="29"/>
      <c r="AN284" s="29"/>
      <c r="AO284" s="29"/>
      <c r="AP284" s="29"/>
    </row>
    <row r="285" spans="1:4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93"/>
      <c r="AI285" s="193"/>
      <c r="AJ285" s="132"/>
      <c r="AK285" s="132"/>
      <c r="AL285" s="132"/>
      <c r="AM285" s="29"/>
      <c r="AN285" s="29"/>
      <c r="AO285" s="29"/>
      <c r="AP285" s="29"/>
    </row>
    <row r="286" spans="1:4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93"/>
      <c r="AI286" s="193"/>
      <c r="AJ286" s="132"/>
      <c r="AK286" s="132"/>
      <c r="AL286" s="132"/>
      <c r="AM286" s="29"/>
      <c r="AN286" s="29"/>
      <c r="AO286" s="29"/>
      <c r="AP286" s="29"/>
    </row>
    <row r="287" spans="1:4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93"/>
      <c r="AI287" s="193"/>
      <c r="AJ287" s="132"/>
      <c r="AK287" s="132"/>
      <c r="AL287" s="132"/>
      <c r="AM287" s="29"/>
      <c r="AN287" s="29"/>
      <c r="AO287" s="29"/>
      <c r="AP287" s="29"/>
    </row>
    <row r="288" spans="1:4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93"/>
      <c r="AI288" s="193"/>
      <c r="AJ288" s="132"/>
      <c r="AK288" s="132"/>
      <c r="AL288" s="132"/>
      <c r="AM288" s="29"/>
      <c r="AN288" s="29"/>
      <c r="AO288" s="29"/>
      <c r="AP288" s="29"/>
    </row>
    <row r="289" spans="1:4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93"/>
      <c r="AI289" s="193"/>
      <c r="AJ289" s="132"/>
      <c r="AK289" s="132"/>
      <c r="AL289" s="132"/>
      <c r="AM289" s="29"/>
      <c r="AN289" s="29"/>
      <c r="AO289" s="29"/>
      <c r="AP289" s="29"/>
    </row>
    <row r="290" spans="1:4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93"/>
      <c r="AI290" s="193"/>
      <c r="AJ290" s="132"/>
      <c r="AK290" s="132"/>
      <c r="AL290" s="132"/>
      <c r="AM290" s="29"/>
      <c r="AN290" s="29"/>
      <c r="AO290" s="29"/>
      <c r="AP290" s="29"/>
    </row>
    <row r="291" spans="1:4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93"/>
      <c r="AI291" s="193"/>
      <c r="AJ291" s="132"/>
      <c r="AK291" s="132"/>
      <c r="AL291" s="132"/>
      <c r="AM291" s="29"/>
      <c r="AN291" s="29"/>
      <c r="AO291" s="29"/>
      <c r="AP291" s="29"/>
    </row>
    <row r="292" spans="1:4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93"/>
      <c r="AI292" s="193"/>
      <c r="AJ292" s="132"/>
      <c r="AK292" s="132"/>
      <c r="AL292" s="132"/>
      <c r="AM292" s="29"/>
      <c r="AN292" s="29"/>
      <c r="AO292" s="29"/>
      <c r="AP292" s="29"/>
    </row>
    <row r="293" spans="1:4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93"/>
      <c r="AI293" s="193"/>
      <c r="AJ293" s="132"/>
      <c r="AK293" s="132"/>
      <c r="AL293" s="132"/>
      <c r="AM293" s="29"/>
      <c r="AN293" s="29"/>
      <c r="AO293" s="29"/>
      <c r="AP293" s="29"/>
    </row>
    <row r="294" spans="1:4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93"/>
      <c r="AI294" s="193"/>
      <c r="AJ294" s="132"/>
      <c r="AK294" s="132"/>
      <c r="AL294" s="132"/>
      <c r="AM294" s="29"/>
      <c r="AN294" s="29"/>
      <c r="AO294" s="29"/>
      <c r="AP294" s="29"/>
    </row>
    <row r="295" spans="1:4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32"/>
      <c r="V295" s="132"/>
      <c r="W295" s="132"/>
      <c r="X295" s="188"/>
      <c r="Y295" s="132"/>
      <c r="Z295" s="188"/>
      <c r="AA295" s="132"/>
      <c r="AB295" s="188"/>
      <c r="AC295" s="132"/>
      <c r="AD295" s="188"/>
      <c r="AE295" s="188"/>
      <c r="AF295" s="188"/>
      <c r="AG295" s="132"/>
      <c r="AH295" s="193"/>
      <c r="AI295" s="193"/>
      <c r="AJ295" s="188"/>
      <c r="AK295" s="132"/>
      <c r="AL295" s="132"/>
      <c r="AM295" s="29"/>
      <c r="AN295" s="29"/>
      <c r="AO295" s="29"/>
      <c r="AP295" s="29"/>
    </row>
    <row r="296" spans="1:4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93"/>
      <c r="AI296" s="193"/>
      <c r="AJ296" s="132"/>
      <c r="AK296" s="132"/>
      <c r="AL296" s="132"/>
      <c r="AM296" s="29"/>
      <c r="AN296" s="29"/>
      <c r="AO296" s="29"/>
      <c r="AP296" s="29"/>
    </row>
    <row r="297" spans="1:4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93"/>
      <c r="AI297" s="193"/>
      <c r="AJ297" s="132"/>
      <c r="AK297" s="132"/>
      <c r="AL297" s="132"/>
      <c r="AM297" s="29"/>
      <c r="AN297" s="29"/>
      <c r="AO297" s="29"/>
      <c r="AP297" s="29"/>
    </row>
    <row r="298" spans="1:4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93"/>
      <c r="AI298" s="193"/>
      <c r="AJ298" s="132"/>
      <c r="AK298" s="132"/>
      <c r="AL298" s="132"/>
      <c r="AM298" s="29"/>
      <c r="AN298" s="29"/>
      <c r="AO298" s="29"/>
      <c r="AP298" s="29"/>
    </row>
    <row r="299" spans="1:4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93"/>
      <c r="AI299" s="193"/>
      <c r="AJ299" s="132"/>
      <c r="AK299" s="132"/>
      <c r="AL299" s="132"/>
      <c r="AM299" s="29"/>
      <c r="AN299" s="29"/>
      <c r="AO299" s="29"/>
      <c r="AP299" s="29"/>
    </row>
    <row r="300" spans="1:4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93"/>
      <c r="AI300" s="193"/>
      <c r="AJ300" s="132"/>
      <c r="AK300" s="132"/>
      <c r="AL300" s="132"/>
      <c r="AM300" s="29"/>
      <c r="AN300" s="29"/>
      <c r="AO300" s="29"/>
      <c r="AP300" s="29"/>
    </row>
    <row r="301" spans="1:4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93"/>
      <c r="AI301" s="193"/>
      <c r="AJ301" s="132"/>
      <c r="AK301" s="132"/>
      <c r="AL301" s="132"/>
      <c r="AM301" s="29"/>
      <c r="AN301" s="29"/>
      <c r="AO301" s="29"/>
      <c r="AP301" s="29"/>
    </row>
    <row r="302" spans="1:4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93"/>
      <c r="AI302" s="193"/>
      <c r="AJ302" s="132"/>
      <c r="AK302" s="132"/>
      <c r="AL302" s="132"/>
      <c r="AM302" s="29"/>
      <c r="AN302" s="29"/>
      <c r="AO302" s="29"/>
      <c r="AP302" s="29"/>
    </row>
    <row r="303" spans="1:4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93"/>
      <c r="AI303" s="193"/>
      <c r="AJ303" s="132"/>
      <c r="AK303" s="132"/>
      <c r="AL303" s="132"/>
      <c r="AM303" s="29"/>
      <c r="AN303" s="29"/>
      <c r="AO303" s="29"/>
      <c r="AP303" s="29"/>
    </row>
    <row r="304" spans="1:4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93"/>
      <c r="AI304" s="193"/>
      <c r="AJ304" s="132"/>
      <c r="AK304" s="132"/>
      <c r="AL304" s="132"/>
      <c r="AM304" s="29"/>
      <c r="AN304" s="29"/>
      <c r="AO304" s="29"/>
      <c r="AP304" s="29"/>
    </row>
    <row r="305" spans="1:4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93"/>
      <c r="AI305" s="193"/>
      <c r="AJ305" s="132"/>
      <c r="AK305" s="132"/>
      <c r="AL305" s="132"/>
      <c r="AM305" s="29"/>
      <c r="AN305" s="29"/>
      <c r="AO305" s="29"/>
      <c r="AP305" s="29"/>
    </row>
    <row r="306" spans="1:4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93"/>
      <c r="AI306" s="193"/>
      <c r="AJ306" s="132"/>
      <c r="AK306" s="132"/>
      <c r="AL306" s="132"/>
      <c r="AM306" s="29"/>
      <c r="AN306" s="29"/>
      <c r="AO306" s="29"/>
      <c r="AP306" s="29"/>
    </row>
    <row r="307" spans="1:4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93"/>
      <c r="AI307" s="193"/>
      <c r="AJ307" s="132"/>
      <c r="AK307" s="132"/>
      <c r="AL307" s="132"/>
      <c r="AM307" s="29"/>
      <c r="AN307" s="29"/>
      <c r="AO307" s="29"/>
      <c r="AP307" s="29"/>
    </row>
    <row r="308" spans="1:4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93"/>
      <c r="AI308" s="193"/>
      <c r="AJ308" s="132"/>
      <c r="AK308" s="132"/>
      <c r="AL308" s="132"/>
      <c r="AM308" s="29"/>
      <c r="AN308" s="29"/>
      <c r="AO308" s="29"/>
      <c r="AP308" s="29"/>
    </row>
    <row r="309" spans="1:4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93"/>
      <c r="AI309" s="193"/>
      <c r="AJ309" s="132"/>
      <c r="AK309" s="132"/>
      <c r="AL309" s="132"/>
      <c r="AM309" s="29"/>
      <c r="AN309" s="29"/>
      <c r="AO309" s="29"/>
      <c r="AP309" s="29"/>
    </row>
    <row r="310" spans="1:4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93"/>
      <c r="AI310" s="193"/>
      <c r="AJ310" s="132"/>
      <c r="AK310" s="132"/>
      <c r="AL310" s="132"/>
      <c r="AM310" s="29"/>
      <c r="AN310" s="29"/>
      <c r="AO310" s="29"/>
      <c r="AP310" s="29"/>
    </row>
    <row r="311" spans="1:4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93"/>
      <c r="AI311" s="193"/>
      <c r="AJ311" s="132"/>
      <c r="AK311" s="132"/>
      <c r="AL311" s="132"/>
      <c r="AM311" s="29"/>
      <c r="AN311" s="29"/>
      <c r="AO311" s="29"/>
      <c r="AP311" s="29"/>
    </row>
    <row r="312" spans="1:4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93"/>
      <c r="AI312" s="193"/>
      <c r="AJ312" s="132"/>
      <c r="AK312" s="132"/>
      <c r="AL312" s="132"/>
      <c r="AM312" s="29"/>
      <c r="AN312" s="29"/>
      <c r="AO312" s="29"/>
      <c r="AP312" s="29"/>
    </row>
    <row r="313" spans="1:4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93"/>
      <c r="AI313" s="193"/>
      <c r="AJ313" s="132"/>
      <c r="AK313" s="132"/>
      <c r="AL313" s="132"/>
      <c r="AM313" s="29"/>
      <c r="AN313" s="29"/>
      <c r="AO313" s="29"/>
      <c r="AP313" s="29"/>
    </row>
    <row r="314" spans="1:4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93"/>
      <c r="AI314" s="193"/>
      <c r="AJ314" s="132"/>
      <c r="AK314" s="132"/>
      <c r="AL314" s="132"/>
      <c r="AM314" s="29"/>
      <c r="AN314" s="29"/>
      <c r="AO314" s="29"/>
      <c r="AP314" s="29"/>
    </row>
    <row r="315" spans="1:4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93"/>
      <c r="AI315" s="193"/>
      <c r="AJ315" s="132"/>
      <c r="AK315" s="132"/>
      <c r="AL315" s="132"/>
      <c r="AM315" s="29"/>
      <c r="AN315" s="29"/>
      <c r="AO315" s="29"/>
      <c r="AP315" s="29"/>
    </row>
    <row r="316" spans="1:4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93"/>
      <c r="AI316" s="193"/>
      <c r="AJ316" s="132"/>
      <c r="AK316" s="132"/>
      <c r="AL316" s="132"/>
      <c r="AM316" s="29"/>
      <c r="AN316" s="29"/>
      <c r="AO316" s="29"/>
      <c r="AP316" s="29"/>
    </row>
    <row r="317" spans="1:4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93"/>
      <c r="AI317" s="193"/>
      <c r="AJ317" s="132"/>
      <c r="AK317" s="132"/>
      <c r="AL317" s="132"/>
      <c r="AM317" s="29"/>
      <c r="AN317" s="29"/>
      <c r="AO317" s="29"/>
      <c r="AP317" s="29"/>
    </row>
    <row r="318" spans="1:4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93"/>
      <c r="AI318" s="193"/>
      <c r="AJ318" s="132"/>
      <c r="AK318" s="132"/>
      <c r="AL318" s="132"/>
      <c r="AM318" s="29"/>
      <c r="AN318" s="29"/>
      <c r="AO318" s="29"/>
      <c r="AP318" s="29"/>
    </row>
    <row r="319" spans="1:4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93"/>
      <c r="AI319" s="193"/>
      <c r="AJ319" s="132"/>
      <c r="AK319" s="132"/>
      <c r="AL319" s="132"/>
      <c r="AM319" s="29"/>
      <c r="AN319" s="29"/>
      <c r="AO319" s="29"/>
      <c r="AP319" s="29"/>
    </row>
    <row r="320" spans="1:4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93"/>
      <c r="AI320" s="193"/>
      <c r="AJ320" s="132"/>
      <c r="AK320" s="132"/>
      <c r="AL320" s="132"/>
      <c r="AM320" s="29"/>
      <c r="AN320" s="29"/>
      <c r="AO320" s="29"/>
      <c r="AP320" s="29"/>
    </row>
    <row r="321" spans="1:4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93"/>
      <c r="AI321" s="193"/>
      <c r="AJ321" s="132"/>
      <c r="AK321" s="132"/>
      <c r="AL321" s="132"/>
      <c r="AM321" s="29"/>
      <c r="AN321" s="29"/>
      <c r="AO321" s="29"/>
      <c r="AP321" s="29"/>
    </row>
    <row r="322" spans="1:4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93"/>
      <c r="AI322" s="193"/>
      <c r="AJ322" s="132"/>
      <c r="AK322" s="132"/>
      <c r="AL322" s="132"/>
      <c r="AM322" s="29"/>
      <c r="AN322" s="29"/>
      <c r="AO322" s="29"/>
      <c r="AP322" s="29"/>
    </row>
    <row r="323" spans="1:4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93"/>
      <c r="AI323" s="193"/>
      <c r="AJ323" s="132"/>
      <c r="AK323" s="132"/>
      <c r="AL323" s="132"/>
      <c r="AM323" s="29"/>
      <c r="AN323" s="29"/>
      <c r="AO323" s="29"/>
      <c r="AP323" s="29"/>
    </row>
    <row r="324" spans="1:4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93"/>
      <c r="AI324" s="193"/>
      <c r="AJ324" s="132"/>
      <c r="AK324" s="132"/>
      <c r="AL324" s="132"/>
      <c r="AM324" s="29"/>
      <c r="AN324" s="29"/>
      <c r="AO324" s="29"/>
      <c r="AP324" s="29"/>
    </row>
    <row r="325" spans="1:4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93"/>
      <c r="AI325" s="193"/>
      <c r="AJ325" s="132"/>
      <c r="AK325" s="132"/>
      <c r="AL325" s="132"/>
      <c r="AM325" s="29"/>
      <c r="AN325" s="29"/>
      <c r="AO325" s="29"/>
      <c r="AP325" s="29"/>
    </row>
    <row r="326" spans="1:4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93"/>
      <c r="AI326" s="193"/>
      <c r="AJ326" s="132"/>
      <c r="AK326" s="132"/>
      <c r="AL326" s="132"/>
      <c r="AM326" s="29"/>
      <c r="AN326" s="29"/>
      <c r="AO326" s="29"/>
      <c r="AP326" s="29"/>
    </row>
    <row r="327" spans="1:4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93"/>
      <c r="AI327" s="193"/>
      <c r="AJ327" s="132"/>
      <c r="AK327" s="132"/>
      <c r="AL327" s="132"/>
      <c r="AM327" s="29"/>
      <c r="AN327" s="29"/>
      <c r="AO327" s="29"/>
      <c r="AP327" s="29"/>
    </row>
    <row r="328" spans="1:4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93"/>
      <c r="AI328" s="193"/>
      <c r="AJ328" s="132"/>
      <c r="AK328" s="132"/>
      <c r="AL328" s="132"/>
      <c r="AM328" s="29"/>
      <c r="AN328" s="29"/>
      <c r="AO328" s="29"/>
      <c r="AP328" s="29"/>
    </row>
    <row r="329" spans="1:4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93"/>
      <c r="AI329" s="193"/>
      <c r="AJ329" s="132"/>
      <c r="AK329" s="132"/>
      <c r="AL329" s="132"/>
      <c r="AM329" s="29"/>
      <c r="AN329" s="29"/>
      <c r="AO329" s="29"/>
      <c r="AP329" s="29"/>
    </row>
    <row r="330" spans="1:4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93"/>
      <c r="AI330" s="193"/>
      <c r="AJ330" s="132"/>
      <c r="AK330" s="132"/>
      <c r="AL330" s="132"/>
      <c r="AM330" s="29"/>
      <c r="AN330" s="29"/>
      <c r="AO330" s="29"/>
      <c r="AP330" s="29"/>
    </row>
    <row r="331" spans="1:4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93"/>
      <c r="AI331" s="193"/>
      <c r="AJ331" s="132"/>
      <c r="AK331" s="132"/>
      <c r="AL331" s="132"/>
      <c r="AM331" s="29"/>
      <c r="AN331" s="29"/>
      <c r="AO331" s="29"/>
      <c r="AP331" s="29"/>
    </row>
    <row r="332" spans="1:4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93"/>
      <c r="AI332" s="193"/>
      <c r="AJ332" s="132"/>
      <c r="AK332" s="132"/>
      <c r="AL332" s="132"/>
      <c r="AM332" s="29"/>
      <c r="AN332" s="29"/>
      <c r="AO332" s="29"/>
      <c r="AP332" s="29"/>
    </row>
    <row r="333" spans="1:4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93"/>
      <c r="AI333" s="193"/>
      <c r="AJ333" s="132"/>
      <c r="AK333" s="132"/>
      <c r="AL333" s="132"/>
      <c r="AM333" s="29"/>
      <c r="AN333" s="29"/>
      <c r="AO333" s="29"/>
      <c r="AP333" s="29"/>
    </row>
    <row r="334" spans="1:4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93"/>
      <c r="AI334" s="193"/>
      <c r="AJ334" s="132"/>
      <c r="AK334" s="132"/>
      <c r="AL334" s="132"/>
      <c r="AM334" s="29"/>
      <c r="AN334" s="29"/>
      <c r="AO334" s="29"/>
      <c r="AP334" s="29"/>
    </row>
    <row r="335" spans="1:4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93"/>
      <c r="AI335" s="193"/>
      <c r="AJ335" s="132"/>
      <c r="AK335" s="132"/>
      <c r="AL335" s="132"/>
      <c r="AM335" s="29"/>
      <c r="AN335" s="29"/>
      <c r="AO335" s="29"/>
      <c r="AP335" s="29"/>
    </row>
    <row r="336" spans="1:4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93"/>
      <c r="AI336" s="193"/>
      <c r="AJ336" s="132"/>
      <c r="AK336" s="132"/>
      <c r="AL336" s="132"/>
      <c r="AM336" s="29"/>
      <c r="AN336" s="29"/>
      <c r="AO336" s="29"/>
      <c r="AP336" s="29"/>
    </row>
    <row r="337" spans="1:4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93"/>
      <c r="AI337" s="193"/>
      <c r="AJ337" s="132"/>
      <c r="AK337" s="132"/>
      <c r="AL337" s="132"/>
      <c r="AM337" s="29"/>
      <c r="AN337" s="29"/>
      <c r="AO337" s="29"/>
      <c r="AP337" s="29"/>
    </row>
    <row r="338" spans="1:4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93"/>
      <c r="AI338" s="193"/>
      <c r="AJ338" s="132"/>
      <c r="AK338" s="132"/>
      <c r="AL338" s="132"/>
      <c r="AM338" s="29"/>
      <c r="AN338" s="29"/>
      <c r="AO338" s="29"/>
      <c r="AP338" s="29"/>
    </row>
    <row r="339" spans="1:4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93"/>
      <c r="AI339" s="193"/>
      <c r="AJ339" s="132"/>
      <c r="AK339" s="132"/>
      <c r="AL339" s="132"/>
      <c r="AM339" s="29"/>
      <c r="AN339" s="29"/>
      <c r="AO339" s="29"/>
      <c r="AP339" s="29"/>
    </row>
    <row r="340" spans="1:4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93"/>
      <c r="AI340" s="193"/>
      <c r="AJ340" s="132"/>
      <c r="AK340" s="132"/>
      <c r="AL340" s="132"/>
      <c r="AM340" s="29"/>
      <c r="AN340" s="29"/>
      <c r="AO340" s="29"/>
      <c r="AP340" s="29"/>
    </row>
    <row r="341" spans="1:4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93"/>
      <c r="AI341" s="193"/>
      <c r="AJ341" s="132"/>
      <c r="AK341" s="132"/>
      <c r="AL341" s="132"/>
      <c r="AM341" s="29"/>
      <c r="AN341" s="29"/>
      <c r="AO341" s="29"/>
      <c r="AP341" s="29"/>
    </row>
    <row r="342" spans="1: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93"/>
      <c r="AI342" s="193"/>
      <c r="AJ342" s="132"/>
      <c r="AK342" s="132"/>
      <c r="AL342" s="132"/>
      <c r="AM342" s="29"/>
      <c r="AN342" s="29"/>
      <c r="AO342" s="29"/>
      <c r="AP342" s="29"/>
    </row>
    <row r="343" spans="1:4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93"/>
      <c r="AI343" s="193"/>
      <c r="AJ343" s="132"/>
      <c r="AK343" s="132"/>
      <c r="AL343" s="132"/>
      <c r="AM343" s="29"/>
      <c r="AN343" s="29"/>
      <c r="AO343" s="29"/>
      <c r="AP343" s="29"/>
    </row>
    <row r="344" spans="1:4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93"/>
      <c r="AI344" s="193"/>
      <c r="AJ344" s="132"/>
      <c r="AK344" s="132"/>
      <c r="AL344" s="132"/>
      <c r="AM344" s="29"/>
      <c r="AN344" s="29"/>
      <c r="AO344" s="29"/>
      <c r="AP344" s="29"/>
    </row>
    <row r="345" spans="1:4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93"/>
      <c r="AI345" s="193"/>
      <c r="AJ345" s="132"/>
      <c r="AK345" s="132"/>
      <c r="AL345" s="132"/>
      <c r="AM345" s="29"/>
      <c r="AN345" s="29"/>
      <c r="AO345" s="29"/>
      <c r="AP345" s="29"/>
    </row>
    <row r="346" spans="1:4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93"/>
      <c r="AI346" s="193"/>
      <c r="AJ346" s="132"/>
      <c r="AK346" s="132"/>
      <c r="AL346" s="132"/>
      <c r="AM346" s="29"/>
      <c r="AN346" s="29"/>
      <c r="AO346" s="29"/>
      <c r="AP346" s="29"/>
    </row>
    <row r="347" spans="1:4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93"/>
      <c r="AI347" s="193"/>
      <c r="AJ347" s="132"/>
      <c r="AK347" s="132"/>
      <c r="AL347" s="132"/>
      <c r="AM347" s="29"/>
      <c r="AN347" s="29"/>
      <c r="AO347" s="29"/>
      <c r="AP347" s="29"/>
    </row>
    <row r="348" spans="1:4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93"/>
      <c r="AI348" s="193"/>
      <c r="AJ348" s="132"/>
      <c r="AK348" s="132"/>
      <c r="AL348" s="132"/>
      <c r="AM348" s="29"/>
      <c r="AN348" s="29"/>
      <c r="AO348" s="29"/>
      <c r="AP348" s="29"/>
    </row>
    <row r="349" spans="1:42">
      <c r="S349" s="11"/>
      <c r="T349" s="11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93"/>
      <c r="AI349" s="193"/>
      <c r="AJ349" s="132"/>
      <c r="AK349" s="132"/>
      <c r="AL349" s="132"/>
      <c r="AM349" s="29"/>
      <c r="AN349" s="29"/>
      <c r="AO349" s="29"/>
      <c r="AP349" s="29"/>
    </row>
    <row r="350" spans="1:42"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</row>
    <row r="351" spans="1:42"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</row>
    <row r="352" spans="1:42"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</row>
    <row r="353" spans="20:42"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</row>
    <row r="354" spans="20:42"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</row>
    <row r="355" spans="20:42"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</row>
    <row r="356" spans="20:42"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</row>
    <row r="357" spans="20:42"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</row>
    <row r="358" spans="20:42"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</row>
    <row r="359" spans="20:42"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</row>
    <row r="360" spans="20:42"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</row>
    <row r="361" spans="20:42"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</row>
    <row r="362" spans="20:42"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</row>
    <row r="363" spans="20:42"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</row>
    <row r="364" spans="20:42"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</row>
    <row r="365" spans="20:42"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</row>
    <row r="366" spans="20:42"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</row>
    <row r="367" spans="20:42"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</row>
    <row r="368" spans="20:42"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</row>
    <row r="369" spans="20:42"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</row>
    <row r="370" spans="20:42"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</row>
    <row r="371" spans="20:42"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</row>
    <row r="372" spans="20:42"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</row>
    <row r="373" spans="20:42"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</row>
    <row r="374" spans="20:42"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</row>
    <row r="375" spans="20:42"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</row>
    <row r="376" spans="20:42"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</row>
    <row r="377" spans="20:42"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</row>
    <row r="378" spans="20:42"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</row>
    <row r="379" spans="20:42"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</row>
    <row r="380" spans="20:42"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</row>
    <row r="381" spans="20:42"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</row>
    <row r="382" spans="20:42"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</row>
    <row r="383" spans="20:42"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</row>
    <row r="384" spans="20:42"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</row>
    <row r="385" spans="20:42"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</row>
    <row r="386" spans="20:42"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</row>
    <row r="387" spans="20:42"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</row>
    <row r="388" spans="20:42"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</row>
    <row r="389" spans="20:42"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</row>
    <row r="390" spans="20:42"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</row>
    <row r="391" spans="20:42"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</row>
    <row r="392" spans="20:42"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</row>
    <row r="393" spans="20:42"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</row>
    <row r="394" spans="20:42"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</row>
    <row r="395" spans="20:42"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</row>
    <row r="396" spans="20:42"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</row>
    <row r="397" spans="20:42"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</row>
    <row r="398" spans="20:42"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</row>
    <row r="399" spans="20:42"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</row>
    <row r="400" spans="20:42"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</row>
    <row r="401" spans="20:42"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</row>
    <row r="402" spans="20:42"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</row>
    <row r="403" spans="20:42"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</row>
    <row r="404" spans="20:42"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</row>
    <row r="405" spans="20:42"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</row>
    <row r="406" spans="20:42"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</row>
    <row r="407" spans="20:42"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</row>
    <row r="408" spans="20:42"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</row>
    <row r="409" spans="20:42"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</row>
    <row r="410" spans="20:42"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</row>
    <row r="411" spans="20:42"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</row>
    <row r="412" spans="20:42"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</row>
    <row r="413" spans="20:42"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</row>
  </sheetData>
  <mergeCells count="1">
    <mergeCell ref="U39:AJ39"/>
  </mergeCells>
  <phoneticPr fontId="9" type="noConversion"/>
  <pageMargins left="0.85" right="0.2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I146"/>
  <sheetViews>
    <sheetView workbookViewId="0">
      <selection sqref="A1:K1"/>
    </sheetView>
  </sheetViews>
  <sheetFormatPr defaultColWidth="9.6640625" defaultRowHeight="15"/>
  <cols>
    <col min="1" max="1" width="7.6640625" style="1" customWidth="1"/>
    <col min="2" max="2" width="8.6640625" style="1" customWidth="1"/>
    <col min="3" max="3" width="2.6640625" style="1" customWidth="1"/>
    <col min="4" max="4" width="8.77734375" style="1" customWidth="1"/>
    <col min="5" max="5" width="2.6640625" style="1" customWidth="1"/>
    <col min="6" max="6" width="9.88671875" style="1" customWidth="1"/>
    <col min="7" max="7" width="5" style="1" customWidth="1"/>
    <col min="8" max="8" width="9.6640625" style="1" customWidth="1"/>
    <col min="9" max="9" width="0.6640625" style="1" customWidth="1"/>
    <col min="10" max="10" width="2.77734375" style="1" customWidth="1"/>
    <col min="11" max="11" width="10.6640625" style="1" customWidth="1"/>
    <col min="12" max="12" width="0.77734375" style="1" customWidth="1"/>
    <col min="13" max="13" width="13.5546875" style="1" bestFit="1" customWidth="1"/>
    <col min="14" max="14" width="9.6640625" style="1" customWidth="1"/>
    <col min="15" max="15" width="13.77734375" style="1" customWidth="1"/>
    <col min="16" max="16" width="3.33203125" style="1" customWidth="1"/>
    <col min="17" max="17" width="10.109375" style="1" customWidth="1"/>
    <col min="18" max="18" width="12.21875" style="1" customWidth="1"/>
    <col min="19" max="19" width="1.33203125" style="1" customWidth="1"/>
    <col min="20" max="20" width="11.77734375" style="1" customWidth="1"/>
    <col min="21" max="21" width="3.109375" style="1" customWidth="1"/>
    <col min="22" max="22" width="9" style="1" customWidth="1"/>
    <col min="23" max="23" width="2.109375" style="1" customWidth="1"/>
    <col min="24" max="24" width="7.6640625" style="1" customWidth="1"/>
    <col min="25" max="25" width="2.33203125" style="1" customWidth="1"/>
    <col min="26" max="26" width="10.109375" style="1" customWidth="1"/>
    <col min="27" max="27" width="14" style="1" customWidth="1"/>
    <col min="28" max="16384" width="9.6640625" style="1"/>
  </cols>
  <sheetData>
    <row r="1" spans="1:30">
      <c r="A1" s="1034" t="s">
        <v>802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3"/>
      <c r="O1" s="1034" t="s">
        <v>802</v>
      </c>
      <c r="P1" s="1034"/>
      <c r="Q1" s="1034"/>
      <c r="R1" s="1034"/>
      <c r="S1" s="1034"/>
      <c r="T1" s="1034"/>
      <c r="U1" s="1034"/>
      <c r="V1" s="1034"/>
      <c r="W1" s="1034"/>
      <c r="X1" s="19"/>
      <c r="Y1" s="2"/>
      <c r="Z1" s="3"/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30">
      <c r="A3" s="1032" t="s">
        <v>170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335"/>
      <c r="O3" s="1032" t="s">
        <v>170</v>
      </c>
      <c r="P3" s="1032"/>
      <c r="Q3" s="1032"/>
      <c r="R3" s="1032"/>
      <c r="S3" s="1032"/>
      <c r="T3" s="1032"/>
      <c r="U3" s="1032"/>
      <c r="V3" s="1032"/>
      <c r="W3" s="1032"/>
      <c r="X3" s="322"/>
      <c r="Y3" s="335"/>
      <c r="Z3" s="335"/>
    </row>
    <row r="5" spans="1:30" ht="15.75">
      <c r="A5" s="336"/>
      <c r="O5" s="336"/>
    </row>
    <row r="6" spans="1:30">
      <c r="A6" s="323" t="s">
        <v>632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O6" s="322" t="s">
        <v>561</v>
      </c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30">
      <c r="A7" s="322" t="s">
        <v>633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</row>
    <row r="8" spans="1:30"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O8" s="322" t="s">
        <v>577</v>
      </c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</row>
    <row r="9" spans="1:30">
      <c r="A9" s="322" t="s">
        <v>439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O9" s="322" t="s">
        <v>562</v>
      </c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</row>
    <row r="10" spans="1:30">
      <c r="A10" s="322" t="s">
        <v>440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</row>
    <row r="11" spans="1:30" ht="24.6" customHeight="1">
      <c r="A11" s="322"/>
      <c r="B11" s="322"/>
      <c r="C11" s="322"/>
      <c r="D11" s="325" t="s">
        <v>182</v>
      </c>
      <c r="E11" s="322"/>
      <c r="F11" s="322"/>
      <c r="I11" s="322"/>
      <c r="J11" s="322"/>
      <c r="K11" s="322"/>
      <c r="L11" s="322"/>
      <c r="O11" s="322"/>
      <c r="P11" s="322"/>
      <c r="Q11" s="322"/>
      <c r="R11" s="325" t="s">
        <v>182</v>
      </c>
      <c r="S11" s="322"/>
      <c r="U11" s="322"/>
      <c r="V11" s="322"/>
      <c r="W11" s="322"/>
      <c r="X11" s="322"/>
      <c r="Y11" s="333"/>
      <c r="Z11" s="333"/>
    </row>
    <row r="12" spans="1:30">
      <c r="A12" s="322"/>
      <c r="B12" s="322"/>
      <c r="C12" s="322"/>
      <c r="D12" s="325" t="s">
        <v>179</v>
      </c>
      <c r="E12" s="322"/>
      <c r="H12" s="507" t="s">
        <v>602</v>
      </c>
      <c r="J12" s="322"/>
      <c r="K12" s="322"/>
      <c r="L12" s="322"/>
      <c r="O12" s="322"/>
      <c r="P12" s="322"/>
      <c r="Q12" s="322"/>
      <c r="R12" s="325" t="s">
        <v>199</v>
      </c>
      <c r="S12" s="322"/>
      <c r="U12" s="322"/>
      <c r="V12" s="322"/>
      <c r="W12" s="322"/>
      <c r="AB12" s="325"/>
      <c r="AC12" s="333"/>
      <c r="AD12" s="333"/>
    </row>
    <row r="13" spans="1:30">
      <c r="A13" s="322"/>
      <c r="B13" s="322"/>
      <c r="C13" s="322"/>
      <c r="D13" s="325" t="s">
        <v>432</v>
      </c>
      <c r="E13" s="322"/>
      <c r="H13" s="507" t="s">
        <v>603</v>
      </c>
      <c r="J13" s="322"/>
      <c r="K13" s="322"/>
      <c r="L13" s="322"/>
      <c r="O13" s="322"/>
      <c r="P13" s="322"/>
      <c r="Q13" s="322"/>
      <c r="R13" s="325" t="s">
        <v>196</v>
      </c>
      <c r="S13" s="322"/>
      <c r="U13" s="322"/>
      <c r="V13" s="322"/>
      <c r="W13" s="322"/>
      <c r="AB13" s="325"/>
      <c r="AC13" s="333"/>
      <c r="AD13" s="329"/>
    </row>
    <row r="14" spans="1:30">
      <c r="A14" s="321" t="s">
        <v>171</v>
      </c>
      <c r="B14" s="321"/>
      <c r="C14" s="322"/>
      <c r="D14" s="325" t="s">
        <v>183</v>
      </c>
      <c r="E14" s="322"/>
      <c r="F14" s="325" t="s">
        <v>180</v>
      </c>
      <c r="H14" s="507" t="s">
        <v>183</v>
      </c>
      <c r="K14" s="513" t="s">
        <v>180</v>
      </c>
      <c r="L14" s="322"/>
      <c r="O14" s="321" t="s">
        <v>171</v>
      </c>
      <c r="P14" s="321"/>
      <c r="Q14" s="322"/>
      <c r="R14" s="325" t="s">
        <v>183</v>
      </c>
      <c r="S14" s="322"/>
      <c r="U14" s="322"/>
      <c r="V14" s="325" t="s">
        <v>180</v>
      </c>
      <c r="W14" s="322"/>
      <c r="AB14" s="325"/>
      <c r="AC14" s="333"/>
      <c r="AD14" s="325"/>
    </row>
    <row r="15" spans="1:30">
      <c r="A15" s="321" t="s">
        <v>172</v>
      </c>
      <c r="B15" s="321"/>
      <c r="C15" s="322"/>
      <c r="D15" s="325" t="s">
        <v>184</v>
      </c>
      <c r="E15" s="322"/>
      <c r="F15" s="325" t="s">
        <v>605</v>
      </c>
      <c r="H15" s="508" t="s">
        <v>184</v>
      </c>
      <c r="K15" s="514" t="s">
        <v>601</v>
      </c>
      <c r="L15" s="322"/>
      <c r="O15" s="321" t="s">
        <v>172</v>
      </c>
      <c r="P15" s="328"/>
      <c r="Q15" s="322"/>
      <c r="R15" s="325" t="s">
        <v>184</v>
      </c>
      <c r="S15" s="322"/>
      <c r="U15" s="322"/>
      <c r="V15" s="325" t="s">
        <v>255</v>
      </c>
      <c r="W15" s="322"/>
      <c r="AB15" s="337"/>
      <c r="AC15" s="333"/>
      <c r="AD15" s="337"/>
    </row>
    <row r="16" spans="1:30">
      <c r="A16" s="326" t="s">
        <v>173</v>
      </c>
      <c r="B16" s="326"/>
      <c r="C16" s="322"/>
      <c r="D16" s="327" t="s">
        <v>181</v>
      </c>
      <c r="E16" s="322"/>
      <c r="F16" s="327" t="s">
        <v>194</v>
      </c>
      <c r="H16" s="322"/>
      <c r="K16" s="225"/>
      <c r="L16" s="322"/>
      <c r="O16" s="326" t="s">
        <v>173</v>
      </c>
      <c r="P16" s="328"/>
      <c r="Q16" s="322"/>
      <c r="R16" s="327" t="s">
        <v>181</v>
      </c>
      <c r="S16" s="322"/>
      <c r="U16" s="322"/>
      <c r="V16" s="327" t="s">
        <v>194</v>
      </c>
      <c r="W16" s="322"/>
      <c r="AB16" s="346"/>
      <c r="AC16" s="333"/>
      <c r="AD16" s="346"/>
    </row>
    <row r="17" spans="1:30" ht="10.5" customHeight="1">
      <c r="A17" s="328"/>
      <c r="B17" s="328"/>
      <c r="C17" s="322"/>
      <c r="D17" s="329"/>
      <c r="E17" s="322"/>
      <c r="F17" s="329"/>
      <c r="H17" s="322"/>
      <c r="K17" s="225"/>
      <c r="L17" s="322"/>
      <c r="O17" s="328"/>
      <c r="P17" s="328"/>
      <c r="Q17" s="322"/>
      <c r="R17" s="339"/>
      <c r="S17" s="331"/>
      <c r="U17" s="331"/>
      <c r="V17" s="329"/>
      <c r="W17" s="322"/>
      <c r="AB17" s="322"/>
      <c r="AC17" s="333"/>
      <c r="AD17" s="329"/>
    </row>
    <row r="18" spans="1:30">
      <c r="A18" s="330" t="s">
        <v>252</v>
      </c>
      <c r="B18" s="322"/>
      <c r="C18" s="322"/>
      <c r="D18" s="331"/>
      <c r="E18" s="322"/>
      <c r="F18" s="322"/>
      <c r="H18" s="322"/>
      <c r="K18" s="515"/>
      <c r="L18" s="322"/>
      <c r="O18" s="330" t="s">
        <v>252</v>
      </c>
      <c r="P18" s="322"/>
      <c r="Q18" s="322"/>
      <c r="R18" s="331"/>
      <c r="S18" s="331"/>
      <c r="U18" s="331"/>
      <c r="V18" s="322"/>
      <c r="W18" s="322"/>
      <c r="AB18" s="322"/>
      <c r="AC18" s="333"/>
      <c r="AD18" s="333"/>
    </row>
    <row r="19" spans="1:30">
      <c r="A19" s="322" t="s">
        <v>318</v>
      </c>
      <c r="B19" s="322"/>
      <c r="C19" s="322"/>
      <c r="D19" s="348">
        <f>ROUND(F87/365,0)</f>
        <v>118913</v>
      </c>
      <c r="E19" s="322"/>
      <c r="F19" s="382">
        <f t="shared" ref="F19:F24" si="0">ROUND(+D19/$D$26,4)</f>
        <v>0.71550000000000002</v>
      </c>
      <c r="H19" s="407">
        <f>+R19</f>
        <v>135717</v>
      </c>
      <c r="K19" s="450">
        <f>ROUND(+R19/M28,4)</f>
        <v>0.62439999999999996</v>
      </c>
      <c r="L19" s="322"/>
      <c r="O19" s="322" t="s">
        <v>318</v>
      </c>
      <c r="P19" s="322"/>
      <c r="Q19" s="322"/>
      <c r="R19" s="348">
        <f t="shared" ref="R19:R24" si="1">ROUND(K87/365,0)</f>
        <v>135717</v>
      </c>
      <c r="S19" s="331"/>
      <c r="U19" s="331"/>
      <c r="V19" s="382">
        <f>ROUND(+R19/$R$26,4)-0.0001</f>
        <v>0.14910000000000001</v>
      </c>
      <c r="W19" s="322"/>
      <c r="AB19" s="348"/>
      <c r="AC19" s="333"/>
      <c r="AD19" s="382"/>
    </row>
    <row r="20" spans="1:30">
      <c r="A20" s="322" t="s">
        <v>314</v>
      </c>
      <c r="B20" s="322"/>
      <c r="C20" s="322"/>
      <c r="D20" s="348">
        <f>ROUND(F88/365,0)</f>
        <v>47285</v>
      </c>
      <c r="E20" s="322"/>
      <c r="F20" s="382">
        <f t="shared" si="0"/>
        <v>0.28449999999999998</v>
      </c>
      <c r="H20" s="407">
        <f>+R20</f>
        <v>81643</v>
      </c>
      <c r="K20" s="450">
        <f>ROUND(+R20/M28,4)</f>
        <v>0.37559999999999999</v>
      </c>
      <c r="L20" s="322"/>
      <c r="O20" s="322" t="s">
        <v>314</v>
      </c>
      <c r="P20" s="322"/>
      <c r="Q20" s="322"/>
      <c r="R20" s="348">
        <f t="shared" si="1"/>
        <v>81643</v>
      </c>
      <c r="S20" s="331"/>
      <c r="U20" s="331"/>
      <c r="V20" s="382">
        <f t="shared" ref="V20:V24" si="2">ROUND(+R20/$R$26,4)</f>
        <v>8.9700000000000002E-2</v>
      </c>
      <c r="W20" s="322"/>
      <c r="AB20" s="348"/>
      <c r="AC20" s="333"/>
      <c r="AD20" s="382"/>
    </row>
    <row r="21" spans="1:30">
      <c r="A21" s="322" t="s">
        <v>315</v>
      </c>
      <c r="B21" s="322"/>
      <c r="C21" s="322"/>
      <c r="D21" s="348"/>
      <c r="E21" s="322"/>
      <c r="F21" s="382">
        <f t="shared" si="0"/>
        <v>0</v>
      </c>
      <c r="H21" s="322"/>
      <c r="K21" s="515"/>
      <c r="L21" s="322"/>
      <c r="O21" s="322" t="s">
        <v>315</v>
      </c>
      <c r="P21" s="322"/>
      <c r="Q21" s="322"/>
      <c r="R21" s="348">
        <f t="shared" si="1"/>
        <v>29803</v>
      </c>
      <c r="S21" s="331"/>
      <c r="U21" s="331"/>
      <c r="V21" s="382">
        <f t="shared" si="2"/>
        <v>3.2800000000000003E-2</v>
      </c>
      <c r="W21" s="322"/>
      <c r="AB21" s="348"/>
      <c r="AC21" s="333"/>
      <c r="AD21" s="382"/>
    </row>
    <row r="22" spans="1:30">
      <c r="A22" s="322" t="s">
        <v>316</v>
      </c>
      <c r="B22" s="322"/>
      <c r="C22" s="322"/>
      <c r="D22" s="348"/>
      <c r="E22" s="322"/>
      <c r="F22" s="382">
        <f t="shared" si="0"/>
        <v>0</v>
      </c>
      <c r="H22" s="322"/>
      <c r="K22" s="515"/>
      <c r="L22" s="322"/>
      <c r="O22" s="322" t="s">
        <v>316</v>
      </c>
      <c r="P22" s="322"/>
      <c r="Q22" s="322"/>
      <c r="R22" s="348">
        <f t="shared" si="1"/>
        <v>59288</v>
      </c>
      <c r="S22" s="331"/>
      <c r="U22" s="331"/>
      <c r="V22" s="382">
        <f t="shared" si="2"/>
        <v>6.5199999999999994E-2</v>
      </c>
      <c r="W22" s="322"/>
      <c r="AB22" s="348"/>
      <c r="AC22" s="333"/>
      <c r="AD22" s="382"/>
    </row>
    <row r="23" spans="1:30">
      <c r="A23" s="322" t="s">
        <v>317</v>
      </c>
      <c r="B23" s="322"/>
      <c r="C23" s="322"/>
      <c r="D23" s="348">
        <f>ROUND(F91/365,0)</f>
        <v>0</v>
      </c>
      <c r="E23" s="322"/>
      <c r="F23" s="382">
        <f t="shared" si="0"/>
        <v>0</v>
      </c>
      <c r="H23" s="322"/>
      <c r="K23" s="515"/>
      <c r="L23" s="322"/>
      <c r="O23" s="322" t="s">
        <v>461</v>
      </c>
      <c r="P23" s="322"/>
      <c r="Q23" s="322"/>
      <c r="R23" s="348">
        <f t="shared" si="1"/>
        <v>450366</v>
      </c>
      <c r="S23" s="331"/>
      <c r="U23" s="331"/>
      <c r="V23" s="382">
        <f t="shared" si="2"/>
        <v>0.49509999999999998</v>
      </c>
      <c r="W23" s="322"/>
      <c r="AB23" s="348"/>
      <c r="AC23" s="333"/>
      <c r="AD23" s="382"/>
    </row>
    <row r="24" spans="1:30">
      <c r="A24" s="322" t="s">
        <v>424</v>
      </c>
      <c r="B24" s="322"/>
      <c r="C24" s="322"/>
      <c r="D24" s="348">
        <f>ROUND(F92/365,0)</f>
        <v>0</v>
      </c>
      <c r="E24" s="333"/>
      <c r="F24" s="382">
        <f t="shared" si="0"/>
        <v>0</v>
      </c>
      <c r="H24" s="544"/>
      <c r="K24" s="516"/>
      <c r="L24" s="322"/>
      <c r="O24" s="322" t="s">
        <v>424</v>
      </c>
      <c r="P24" s="322"/>
      <c r="Q24" s="322"/>
      <c r="R24" s="348">
        <f t="shared" si="1"/>
        <v>152912</v>
      </c>
      <c r="S24" s="331"/>
      <c r="U24" s="331"/>
      <c r="V24" s="382">
        <f t="shared" si="2"/>
        <v>0.1681</v>
      </c>
      <c r="W24" s="322"/>
      <c r="AB24" s="348"/>
      <c r="AC24" s="333"/>
      <c r="AD24" s="382"/>
    </row>
    <row r="25" spans="1:30" ht="12.75" customHeight="1">
      <c r="A25" s="322"/>
      <c r="B25" s="322"/>
      <c r="C25" s="322"/>
      <c r="D25" s="355"/>
      <c r="E25" s="322"/>
      <c r="F25" s="383"/>
      <c r="H25" s="322"/>
      <c r="K25" s="225"/>
      <c r="L25" s="322"/>
      <c r="O25" s="322"/>
      <c r="P25" s="322"/>
      <c r="Q25" s="322"/>
      <c r="R25" s="355"/>
      <c r="S25" s="331"/>
      <c r="U25" s="331"/>
      <c r="V25" s="383"/>
      <c r="W25" s="322"/>
      <c r="AB25" s="355"/>
      <c r="AC25" s="333"/>
      <c r="AD25" s="383"/>
    </row>
    <row r="26" spans="1:30" ht="17.100000000000001" customHeight="1" thickBot="1">
      <c r="A26" s="322" t="s">
        <v>176</v>
      </c>
      <c r="B26" s="322"/>
      <c r="C26" s="322"/>
      <c r="D26" s="377">
        <f>+SUM(D19:D22)</f>
        <v>166198</v>
      </c>
      <c r="E26" s="322"/>
      <c r="F26" s="384">
        <f>+SUM(F19:F24)</f>
        <v>1</v>
      </c>
      <c r="H26" s="377">
        <f t="shared" ref="H26" si="3">+SUM(H19:H22)</f>
        <v>217360</v>
      </c>
      <c r="K26" s="517">
        <f t="shared" ref="K26" si="4">+SUM(K19:K24)</f>
        <v>1</v>
      </c>
      <c r="L26" s="322"/>
      <c r="O26" s="322" t="s">
        <v>176</v>
      </c>
      <c r="P26" s="322"/>
      <c r="Q26" s="322"/>
      <c r="R26" s="377">
        <f>SUM(R19:R24)</f>
        <v>909729</v>
      </c>
      <c r="S26" s="322"/>
      <c r="U26" s="340"/>
      <c r="V26" s="384">
        <f>SUM(V19:V24)</f>
        <v>1</v>
      </c>
      <c r="W26" s="322"/>
      <c r="AB26" s="377"/>
      <c r="AC26" s="333"/>
      <c r="AD26" s="384"/>
    </row>
    <row r="27" spans="1:30" ht="14.1" customHeight="1" thickTop="1">
      <c r="A27" s="322"/>
      <c r="B27" s="322"/>
      <c r="C27" s="322"/>
      <c r="D27" s="380"/>
      <c r="E27" s="334"/>
      <c r="H27" s="333"/>
      <c r="I27" s="333"/>
      <c r="K27" s="225"/>
      <c r="L27" s="334"/>
      <c r="V27" s="342"/>
      <c r="W27" s="343"/>
      <c r="AC27" s="36"/>
      <c r="AD27" s="344"/>
    </row>
    <row r="28" spans="1:30">
      <c r="A28" s="4"/>
      <c r="B28" s="4"/>
      <c r="C28" s="4"/>
      <c r="D28" s="4"/>
      <c r="E28" s="4"/>
      <c r="F28" s="291"/>
      <c r="G28" s="4"/>
      <c r="H28" s="4"/>
      <c r="I28" s="4"/>
      <c r="J28" s="4"/>
      <c r="K28" s="4"/>
      <c r="M28" s="391">
        <f>SUM(R19:R20)</f>
        <v>217360</v>
      </c>
      <c r="O28" s="1034" t="s">
        <v>802</v>
      </c>
      <c r="P28" s="1034"/>
      <c r="Q28" s="1034"/>
      <c r="R28" s="1034"/>
      <c r="S28" s="1034"/>
      <c r="T28" s="1034"/>
      <c r="U28" s="1034"/>
      <c r="V28" s="1034"/>
      <c r="W28" s="1034"/>
      <c r="X28" s="1034"/>
      <c r="Y28" s="1034"/>
      <c r="Z28" s="1034"/>
    </row>
    <row r="29" spans="1:30" ht="10.15" customHeight="1">
      <c r="A29" s="4"/>
      <c r="B29" s="4"/>
      <c r="C29" s="4"/>
      <c r="D29" s="4"/>
      <c r="E29" s="4"/>
      <c r="F29" s="291"/>
      <c r="G29" s="4"/>
      <c r="H29" s="4"/>
      <c r="I29" s="4"/>
      <c r="J29" s="4"/>
      <c r="K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spans="1:30">
      <c r="A30" s="4"/>
      <c r="B30" s="4"/>
      <c r="C30" s="4"/>
      <c r="D30" s="4"/>
      <c r="E30" s="4"/>
      <c r="F30" s="291"/>
      <c r="G30" s="4"/>
      <c r="H30" s="4"/>
      <c r="I30" s="4"/>
      <c r="J30" s="4"/>
      <c r="K30" s="4"/>
      <c r="O30" s="1032" t="s">
        <v>170</v>
      </c>
      <c r="P30" s="1032"/>
      <c r="Q30" s="1032"/>
      <c r="R30" s="1032"/>
      <c r="S30" s="1032"/>
      <c r="T30" s="1032"/>
      <c r="U30" s="1032"/>
      <c r="V30" s="1032"/>
      <c r="W30" s="1032"/>
      <c r="X30" s="1032"/>
      <c r="Y30" s="1032"/>
      <c r="Z30" s="1032"/>
    </row>
    <row r="31" spans="1:30">
      <c r="A31" s="4"/>
      <c r="B31" s="4"/>
      <c r="C31" s="4"/>
      <c r="D31" s="4"/>
      <c r="E31" s="4"/>
      <c r="F31" s="291"/>
      <c r="G31" s="4"/>
      <c r="H31" s="4"/>
      <c r="I31" s="4"/>
      <c r="J31" s="4"/>
      <c r="K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42"/>
      <c r="Z31" s="36"/>
    </row>
    <row r="32" spans="1:30">
      <c r="A32" s="134"/>
      <c r="B32" s="135"/>
      <c r="C32" s="136"/>
      <c r="D32" s="136"/>
      <c r="E32" s="136"/>
      <c r="F32" s="301"/>
      <c r="G32" s="136"/>
      <c r="H32" s="136"/>
      <c r="I32" s="136"/>
      <c r="J32" s="136"/>
      <c r="K32" s="136"/>
      <c r="L32" s="136"/>
      <c r="O32" s="323" t="s">
        <v>770</v>
      </c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</row>
    <row r="33" spans="1:29" ht="11.45" customHeight="1">
      <c r="A33" s="137"/>
      <c r="B33" s="137"/>
      <c r="C33" s="137"/>
      <c r="D33" s="137"/>
      <c r="E33" s="137"/>
      <c r="F33" s="302"/>
      <c r="G33" s="137"/>
      <c r="H33" s="137"/>
      <c r="I33" s="137"/>
      <c r="J33" s="137"/>
      <c r="K33" s="137"/>
      <c r="L33" s="137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</row>
    <row r="34" spans="1:29" ht="13.5" customHeight="1">
      <c r="A34" s="136"/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O34" s="322" t="s">
        <v>441</v>
      </c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</row>
    <row r="35" spans="1:29">
      <c r="A35" s="136"/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O35" s="322" t="s">
        <v>442</v>
      </c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</row>
    <row r="36" spans="1:29" ht="10.1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</row>
    <row r="37" spans="1:29">
      <c r="A37" s="137"/>
      <c r="B37" s="137"/>
      <c r="C37" s="137"/>
      <c r="D37" s="138"/>
      <c r="E37" s="138"/>
      <c r="F37" s="138"/>
      <c r="G37" s="137"/>
      <c r="H37" s="138"/>
      <c r="I37" s="138"/>
      <c r="J37" s="138"/>
      <c r="K37" s="137"/>
      <c r="L37" s="137"/>
      <c r="O37" s="322"/>
      <c r="P37" s="322"/>
      <c r="Q37" s="1032" t="s">
        <v>179</v>
      </c>
      <c r="R37" s="1032"/>
      <c r="S37" s="1032"/>
      <c r="T37" s="1032"/>
      <c r="U37" s="322"/>
      <c r="V37" s="321" t="s">
        <v>188</v>
      </c>
      <c r="W37" s="321"/>
      <c r="X37" s="321"/>
      <c r="Y37" s="322"/>
      <c r="Z37" s="322"/>
    </row>
    <row r="38" spans="1:29">
      <c r="A38" s="137"/>
      <c r="B38" s="137"/>
      <c r="C38" s="137"/>
      <c r="D38" s="138"/>
      <c r="E38" s="138"/>
      <c r="F38" s="138"/>
      <c r="G38" s="137"/>
      <c r="H38" s="138"/>
      <c r="I38" s="138"/>
      <c r="J38" s="138"/>
      <c r="K38" s="137"/>
      <c r="L38" s="137"/>
      <c r="O38" s="322"/>
      <c r="P38" s="322"/>
      <c r="Q38" s="1033" t="s">
        <v>430</v>
      </c>
      <c r="R38" s="1033"/>
      <c r="S38" s="1033"/>
      <c r="T38" s="1033"/>
      <c r="U38" s="322"/>
      <c r="V38" s="321" t="s">
        <v>189</v>
      </c>
      <c r="W38" s="321"/>
      <c r="X38" s="321"/>
      <c r="Y38" s="322"/>
      <c r="Z38" s="325"/>
      <c r="AA38" s="207"/>
      <c r="AB38" s="33"/>
      <c r="AC38" s="36"/>
    </row>
    <row r="39" spans="1:29">
      <c r="A39" s="138"/>
      <c r="B39" s="138"/>
      <c r="C39" s="137"/>
      <c r="D39" s="139"/>
      <c r="E39" s="137"/>
      <c r="F39" s="139"/>
      <c r="G39" s="137"/>
      <c r="H39" s="139"/>
      <c r="I39" s="137"/>
      <c r="J39" s="139"/>
      <c r="K39" s="137"/>
      <c r="L39" s="139"/>
      <c r="O39" s="321" t="s">
        <v>171</v>
      </c>
      <c r="P39" s="321"/>
      <c r="Q39" s="412"/>
      <c r="R39" s="329" t="s">
        <v>180</v>
      </c>
      <c r="S39" s="333"/>
      <c r="T39" s="329" t="s">
        <v>185</v>
      </c>
      <c r="U39" s="322"/>
      <c r="V39" s="327" t="s">
        <v>180</v>
      </c>
      <c r="W39" s="347"/>
      <c r="X39" s="327" t="s">
        <v>185</v>
      </c>
      <c r="Y39" s="322"/>
      <c r="Z39" s="325" t="s">
        <v>180</v>
      </c>
      <c r="AA39" s="36"/>
      <c r="AB39" s="33"/>
      <c r="AC39" s="36"/>
    </row>
    <row r="40" spans="1:29">
      <c r="A40" s="138"/>
      <c r="B40" s="138"/>
      <c r="C40" s="137"/>
      <c r="D40" s="139"/>
      <c r="E40" s="137"/>
      <c r="F40" s="139"/>
      <c r="G40" s="137"/>
      <c r="H40" s="139"/>
      <c r="I40" s="137"/>
      <c r="J40" s="139"/>
      <c r="K40" s="137"/>
      <c r="L40" s="139"/>
      <c r="O40" s="321" t="s">
        <v>172</v>
      </c>
      <c r="P40" s="322"/>
      <c r="Q40" s="337" t="s">
        <v>631</v>
      </c>
      <c r="R40" s="325" t="s">
        <v>186</v>
      </c>
      <c r="S40" s="322"/>
      <c r="T40" s="325" t="s">
        <v>578</v>
      </c>
      <c r="U40" s="322"/>
      <c r="V40" s="325" t="s">
        <v>306</v>
      </c>
      <c r="W40" s="322"/>
      <c r="X40" s="325" t="s">
        <v>578</v>
      </c>
      <c r="Y40" s="322"/>
      <c r="Z40" s="325" t="s">
        <v>443</v>
      </c>
      <c r="AA40" s="36"/>
      <c r="AB40" s="33"/>
      <c r="AC40" s="36"/>
    </row>
    <row r="41" spans="1:29">
      <c r="A41" s="138"/>
      <c r="B41" s="138"/>
      <c r="C41" s="137"/>
      <c r="D41" s="139"/>
      <c r="E41" s="137"/>
      <c r="F41" s="139"/>
      <c r="G41" s="137"/>
      <c r="H41" s="139"/>
      <c r="I41" s="137"/>
      <c r="J41" s="139"/>
      <c r="K41" s="137"/>
      <c r="L41" s="139"/>
      <c r="O41" s="326" t="s">
        <v>173</v>
      </c>
      <c r="P41" s="326"/>
      <c r="Q41" s="327" t="s">
        <v>181</v>
      </c>
      <c r="R41" s="346">
        <v>-3</v>
      </c>
      <c r="S41" s="322"/>
      <c r="T41" s="327" t="s">
        <v>454</v>
      </c>
      <c r="U41" s="322"/>
      <c r="V41" s="346">
        <v>-5</v>
      </c>
      <c r="W41" s="322"/>
      <c r="X41" s="327" t="s">
        <v>455</v>
      </c>
      <c r="Y41" s="322"/>
      <c r="Z41" s="418" t="s">
        <v>464</v>
      </c>
      <c r="AA41" s="36"/>
      <c r="AB41" s="146"/>
      <c r="AC41" s="36"/>
    </row>
    <row r="42" spans="1:29">
      <c r="A42" s="137"/>
      <c r="B42" s="137"/>
      <c r="C42" s="137"/>
      <c r="D42" s="137"/>
      <c r="E42" s="137"/>
      <c r="F42" s="140"/>
      <c r="G42" s="140"/>
      <c r="H42" s="140"/>
      <c r="I42" s="140"/>
      <c r="J42" s="140"/>
      <c r="K42" s="137"/>
      <c r="L42" s="137"/>
      <c r="O42" s="322"/>
      <c r="P42" s="322"/>
      <c r="Q42" s="322"/>
      <c r="R42" s="322"/>
      <c r="S42" s="322"/>
      <c r="T42" s="381">
        <f>+R100</f>
        <v>0.27055753663851184</v>
      </c>
      <c r="U42" s="332"/>
      <c r="V42" s="332"/>
      <c r="W42" s="332"/>
      <c r="X42" s="332">
        <f>1-T42</f>
        <v>0.72944246336148821</v>
      </c>
      <c r="Y42" s="322"/>
      <c r="Z42" s="322"/>
      <c r="AA42" s="36"/>
      <c r="AB42" s="36"/>
      <c r="AC42" s="36"/>
    </row>
    <row r="43" spans="1:29">
      <c r="A43" s="141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O43" s="330" t="s">
        <v>252</v>
      </c>
      <c r="P43" s="322"/>
      <c r="Q43" s="322"/>
      <c r="R43" s="322"/>
      <c r="S43" s="322"/>
      <c r="T43" s="379"/>
      <c r="U43" s="322"/>
      <c r="V43" s="322"/>
      <c r="W43" s="322"/>
      <c r="X43" s="322"/>
      <c r="Y43" s="322"/>
      <c r="Z43" s="322"/>
    </row>
    <row r="44" spans="1:29">
      <c r="A44" s="142"/>
      <c r="B44" s="142"/>
      <c r="C44" s="137"/>
      <c r="D44" s="140"/>
      <c r="E44" s="140"/>
      <c r="F44" s="140"/>
      <c r="G44" s="140"/>
      <c r="H44" s="140"/>
      <c r="I44" s="140"/>
      <c r="J44" s="140"/>
      <c r="K44" s="140"/>
      <c r="L44" s="140"/>
      <c r="O44" s="322" t="s">
        <v>318</v>
      </c>
      <c r="P44" s="322"/>
      <c r="Q44" s="407">
        <f>+R19</f>
        <v>135717</v>
      </c>
      <c r="R44" s="382">
        <f>ROUND(Q44/Q$51,4)</f>
        <v>0.39040000000000002</v>
      </c>
      <c r="S44" s="332"/>
      <c r="T44" s="382">
        <f>ROUND(+R44*$T$42,4)</f>
        <v>0.1056</v>
      </c>
      <c r="U44" s="332"/>
      <c r="V44" s="382">
        <f>+'Ftr 3 &amp; 6'!K17</f>
        <v>0.57330000000000003</v>
      </c>
      <c r="W44" s="332"/>
      <c r="X44" s="382">
        <f>ROUND(+V44*$X$42,4)</f>
        <v>0.41820000000000002</v>
      </c>
      <c r="Y44" s="332"/>
      <c r="Z44" s="382">
        <f t="shared" ref="Z44:Z49" si="5">X44+T44</f>
        <v>0.52380000000000004</v>
      </c>
    </row>
    <row r="45" spans="1:29">
      <c r="A45" s="142"/>
      <c r="B45" s="142"/>
      <c r="C45" s="137"/>
      <c r="D45" s="140"/>
      <c r="E45" s="140"/>
      <c r="F45" s="140"/>
      <c r="G45" s="140"/>
      <c r="H45" s="140"/>
      <c r="I45" s="140"/>
      <c r="J45" s="143"/>
      <c r="K45" s="140"/>
      <c r="L45" s="140"/>
      <c r="O45" s="322" t="s">
        <v>314</v>
      </c>
      <c r="P45" s="322"/>
      <c r="Q45" s="407">
        <f>+R20</f>
        <v>81643</v>
      </c>
      <c r="R45" s="382">
        <f t="shared" ref="R45:R49" si="6">ROUND(Q45/Q$51,4)</f>
        <v>0.2349</v>
      </c>
      <c r="S45" s="332"/>
      <c r="T45" s="382">
        <f>ROUND(+R45*$T$42,4)</f>
        <v>6.3600000000000004E-2</v>
      </c>
      <c r="U45" s="332"/>
      <c r="V45" s="382">
        <f>+'Ftr 3 &amp; 6'!K18</f>
        <v>0.30890000000000001</v>
      </c>
      <c r="W45" s="332"/>
      <c r="X45" s="382">
        <f t="shared" ref="X45:X49" si="7">ROUND(+V45*$X$42,4)</f>
        <v>0.2253</v>
      </c>
      <c r="Y45" s="332"/>
      <c r="Z45" s="382">
        <f t="shared" si="5"/>
        <v>0.28889999999999999</v>
      </c>
    </row>
    <row r="46" spans="1:29">
      <c r="A46" s="142"/>
      <c r="B46" s="142"/>
      <c r="C46" s="137"/>
      <c r="D46" s="140"/>
      <c r="E46" s="140"/>
      <c r="F46" s="143"/>
      <c r="G46" s="140"/>
      <c r="H46" s="140"/>
      <c r="I46" s="140"/>
      <c r="J46" s="140"/>
      <c r="K46" s="140"/>
      <c r="L46" s="140"/>
      <c r="O46" s="322" t="s">
        <v>315</v>
      </c>
      <c r="P46" s="322"/>
      <c r="Q46" s="407">
        <f>+R21</f>
        <v>29803</v>
      </c>
      <c r="R46" s="382">
        <f t="shared" si="6"/>
        <v>8.5699999999999998E-2</v>
      </c>
      <c r="S46" s="332"/>
      <c r="T46" s="382">
        <f t="shared" ref="T46:T49" si="8">ROUND(+R46*$T$42,4)</f>
        <v>2.3199999999999998E-2</v>
      </c>
      <c r="U46" s="332"/>
      <c r="V46" s="382">
        <f>+'Ftr 3 &amp; 6'!K19</f>
        <v>7.5600000000000001E-2</v>
      </c>
      <c r="W46" s="332"/>
      <c r="X46" s="382">
        <f t="shared" si="7"/>
        <v>5.5100000000000003E-2</v>
      </c>
      <c r="Y46" s="332"/>
      <c r="Z46" s="382">
        <f t="shared" si="5"/>
        <v>7.8300000000000008E-2</v>
      </c>
    </row>
    <row r="47" spans="1:29">
      <c r="A47" s="142"/>
      <c r="B47" s="142"/>
      <c r="C47" s="137"/>
      <c r="D47" s="140"/>
      <c r="E47" s="140"/>
      <c r="F47" s="143"/>
      <c r="G47" s="140"/>
      <c r="H47" s="140"/>
      <c r="I47" s="140"/>
      <c r="J47" s="140"/>
      <c r="K47" s="140"/>
      <c r="L47" s="140"/>
      <c r="O47" s="322" t="s">
        <v>316</v>
      </c>
      <c r="P47" s="322"/>
      <c r="Q47" s="407">
        <f>+R22</f>
        <v>59288</v>
      </c>
      <c r="R47" s="382">
        <f t="shared" si="6"/>
        <v>0.1706</v>
      </c>
      <c r="S47" s="332"/>
      <c r="T47" s="382">
        <f t="shared" si="8"/>
        <v>4.6199999999999998E-2</v>
      </c>
      <c r="U47" s="332"/>
      <c r="V47" s="382">
        <f>+'Ftr 3 &amp; 6'!K20</f>
        <v>4.2200000000000001E-2</v>
      </c>
      <c r="W47" s="332"/>
      <c r="X47" s="382">
        <f t="shared" si="7"/>
        <v>3.0800000000000001E-2</v>
      </c>
      <c r="Y47" s="332"/>
      <c r="Z47" s="382">
        <f t="shared" si="5"/>
        <v>7.6999999999999999E-2</v>
      </c>
    </row>
    <row r="48" spans="1:29">
      <c r="A48" s="142"/>
      <c r="B48" s="142"/>
      <c r="C48" s="137"/>
      <c r="D48" s="140"/>
      <c r="E48" s="140"/>
      <c r="F48" s="143"/>
      <c r="G48" s="140"/>
      <c r="H48" s="140"/>
      <c r="I48" s="140"/>
      <c r="J48" s="140"/>
      <c r="K48" s="140"/>
      <c r="L48" s="140"/>
      <c r="O48" s="322" t="s">
        <v>461</v>
      </c>
      <c r="P48" s="322"/>
      <c r="Q48" s="407"/>
      <c r="R48" s="382">
        <f t="shared" si="6"/>
        <v>0</v>
      </c>
      <c r="S48" s="332"/>
      <c r="T48" s="382">
        <f t="shared" si="8"/>
        <v>0</v>
      </c>
      <c r="U48" s="332"/>
      <c r="V48" s="382">
        <f>+'Ftr 3 &amp; 6'!K22</f>
        <v>0</v>
      </c>
      <c r="W48" s="332"/>
      <c r="X48" s="382">
        <f t="shared" si="7"/>
        <v>0</v>
      </c>
      <c r="Y48" s="332"/>
      <c r="Z48" s="382">
        <f t="shared" si="5"/>
        <v>0</v>
      </c>
    </row>
    <row r="49" spans="1:26">
      <c r="A49" s="142"/>
      <c r="B49" s="142"/>
      <c r="C49" s="137"/>
      <c r="D49" s="140"/>
      <c r="E49" s="140"/>
      <c r="F49" s="140"/>
      <c r="G49" s="140"/>
      <c r="H49" s="140"/>
      <c r="I49" s="140"/>
      <c r="J49" s="140"/>
      <c r="K49" s="140"/>
      <c r="L49" s="140"/>
      <c r="O49" s="322" t="s">
        <v>823</v>
      </c>
      <c r="P49" s="322"/>
      <c r="Q49" s="457">
        <f>ROUND((+K92)/365-40793694/365,0)</f>
        <v>41149</v>
      </c>
      <c r="R49" s="382">
        <f t="shared" si="6"/>
        <v>0.11840000000000001</v>
      </c>
      <c r="S49" s="332"/>
      <c r="T49" s="382">
        <f t="shared" si="8"/>
        <v>3.2000000000000001E-2</v>
      </c>
      <c r="U49" s="332"/>
      <c r="V49" s="382"/>
      <c r="W49" s="332"/>
      <c r="X49" s="382">
        <f t="shared" si="7"/>
        <v>0</v>
      </c>
      <c r="Y49" s="332"/>
      <c r="Z49" s="382">
        <f t="shared" si="5"/>
        <v>3.2000000000000001E-2</v>
      </c>
    </row>
    <row r="50" spans="1:26">
      <c r="A50" s="137"/>
      <c r="B50" s="137"/>
      <c r="C50" s="137"/>
      <c r="D50" s="140"/>
      <c r="E50" s="140"/>
      <c r="F50" s="140"/>
      <c r="G50" s="140"/>
      <c r="H50" s="140"/>
      <c r="I50" s="140"/>
      <c r="J50" s="140"/>
      <c r="K50" s="140"/>
      <c r="L50" s="140"/>
      <c r="O50" s="322"/>
      <c r="P50" s="322"/>
      <c r="Q50" s="322"/>
      <c r="R50" s="383"/>
      <c r="S50" s="332"/>
      <c r="T50" s="383"/>
      <c r="U50" s="332"/>
      <c r="V50" s="383"/>
      <c r="W50" s="332"/>
      <c r="X50" s="383"/>
      <c r="Y50" s="332"/>
      <c r="Z50" s="383"/>
    </row>
    <row r="51" spans="1:26" ht="15.75" thickBot="1">
      <c r="A51" s="137"/>
      <c r="B51" s="137"/>
      <c r="C51" s="137"/>
      <c r="D51" s="140"/>
      <c r="E51" s="137"/>
      <c r="F51" s="140"/>
      <c r="G51" s="137"/>
      <c r="H51" s="140"/>
      <c r="I51" s="137"/>
      <c r="J51" s="140"/>
      <c r="K51" s="137"/>
      <c r="L51" s="140"/>
      <c r="O51" s="4" t="s">
        <v>176</v>
      </c>
      <c r="P51" s="4"/>
      <c r="Q51" s="436">
        <f>SUM(Q44:Q50)</f>
        <v>347600</v>
      </c>
      <c r="R51" s="384">
        <f>SUM(R44:R49)</f>
        <v>1</v>
      </c>
      <c r="S51" s="4"/>
      <c r="T51" s="384">
        <f>SUM(T44:T49)</f>
        <v>0.27060000000000001</v>
      </c>
      <c r="U51" s="4"/>
      <c r="V51" s="384">
        <f>SUM(V44:V49)</f>
        <v>1</v>
      </c>
      <c r="W51" s="4"/>
      <c r="X51" s="384">
        <f>SUM(X44:X49)</f>
        <v>0.72940000000000005</v>
      </c>
      <c r="Y51" s="4"/>
      <c r="Z51" s="384">
        <f>SUM(Z44:Z49)</f>
        <v>1</v>
      </c>
    </row>
    <row r="52" spans="1:26" ht="10.9" customHeight="1" thickTop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O52" s="472"/>
      <c r="P52" s="472"/>
      <c r="Q52" s="472"/>
      <c r="R52" s="13"/>
      <c r="S52" s="4"/>
      <c r="T52" s="13"/>
      <c r="U52" s="4"/>
      <c r="V52" s="13"/>
      <c r="W52" s="4"/>
      <c r="X52" s="13"/>
      <c r="Y52" s="4"/>
      <c r="Z52" s="13"/>
    </row>
    <row r="53" spans="1:26" ht="17.100000000000001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O53" s="953" t="s">
        <v>817</v>
      </c>
      <c r="P53" s="547"/>
      <c r="Q53" s="547"/>
      <c r="R53" s="954"/>
      <c r="S53" s="547"/>
      <c r="T53" s="954"/>
      <c r="U53" s="547"/>
      <c r="V53" s="954"/>
      <c r="W53" s="547"/>
      <c r="X53" s="568">
        <f>+M100</f>
        <v>347600</v>
      </c>
      <c r="Y53" s="547" t="s">
        <v>818</v>
      </c>
      <c r="Z53" s="954"/>
    </row>
    <row r="54" spans="1:26" ht="12.7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O54" s="547" t="s">
        <v>822</v>
      </c>
      <c r="P54" s="225"/>
      <c r="Q54" s="225"/>
      <c r="R54" s="955">
        <f>+O100</f>
        <v>1284754.4530405137</v>
      </c>
      <c r="S54" s="547" t="s">
        <v>819</v>
      </c>
      <c r="T54" s="225"/>
      <c r="U54" s="956" t="s">
        <v>663</v>
      </c>
      <c r="V54" s="228">
        <f>+X53</f>
        <v>347600</v>
      </c>
      <c r="W54" s="957" t="s">
        <v>820</v>
      </c>
      <c r="X54" s="228">
        <f>+R54</f>
        <v>1284754.4530405137</v>
      </c>
      <c r="Y54" s="958" t="s">
        <v>621</v>
      </c>
      <c r="Z54" s="959">
        <f>+V54/X54</f>
        <v>0.27055753663851184</v>
      </c>
    </row>
    <row r="55" spans="1:26" ht="12.6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O55" s="960" t="s">
        <v>824</v>
      </c>
      <c r="Y55" s="5"/>
      <c r="Z55" s="5"/>
    </row>
    <row r="56" spans="1:26" ht="12.6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O56" s="960"/>
      <c r="Y56" s="5"/>
      <c r="Z56" s="5"/>
    </row>
    <row r="57" spans="1:26" ht="16.899999999999999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O57" s="323" t="s">
        <v>580</v>
      </c>
      <c r="P57" s="408"/>
      <c r="Q57" s="5"/>
      <c r="R57" s="5"/>
      <c r="S57" s="5"/>
      <c r="T57" s="5"/>
      <c r="U57" s="5"/>
      <c r="V57" s="5"/>
      <c r="W57" s="5"/>
      <c r="X57" s="5"/>
      <c r="Y57" s="4"/>
      <c r="Z57" s="4"/>
    </row>
    <row r="58" spans="1:26" ht="15.6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O58" s="322" t="s">
        <v>579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100000000000001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O59" s="322" t="s">
        <v>133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6" ht="17.100000000000001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O60" s="322" t="s">
        <v>458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6" ht="9.6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6" ht="17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O62" s="322"/>
      <c r="P62" s="322"/>
      <c r="Q62" s="322"/>
      <c r="R62" s="321" t="s">
        <v>179</v>
      </c>
      <c r="S62" s="321"/>
      <c r="T62" s="321"/>
      <c r="U62" s="322"/>
      <c r="V62" s="321" t="s">
        <v>188</v>
      </c>
      <c r="W62" s="321"/>
      <c r="X62" s="321"/>
      <c r="Y62" s="322"/>
      <c r="Z62" s="322"/>
    </row>
    <row r="63" spans="1:26" ht="17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O63" s="322"/>
      <c r="P63" s="322"/>
      <c r="Q63" s="322"/>
      <c r="R63" s="321" t="s">
        <v>430</v>
      </c>
      <c r="S63" s="321"/>
      <c r="T63" s="321"/>
      <c r="U63" s="322"/>
      <c r="V63" s="321" t="s">
        <v>189</v>
      </c>
      <c r="W63" s="321"/>
      <c r="X63" s="321"/>
      <c r="Y63" s="322"/>
      <c r="Z63" s="416"/>
    </row>
    <row r="64" spans="1:26" ht="17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O64" s="321" t="s">
        <v>171</v>
      </c>
      <c r="P64" s="321"/>
      <c r="Q64" s="322"/>
      <c r="R64" s="327" t="s">
        <v>180</v>
      </c>
      <c r="S64" s="347"/>
      <c r="T64" s="327" t="s">
        <v>185</v>
      </c>
      <c r="U64" s="322"/>
      <c r="V64" s="327" t="s">
        <v>180</v>
      </c>
      <c r="W64" s="347"/>
      <c r="X64" s="327" t="s">
        <v>185</v>
      </c>
      <c r="Y64" s="322"/>
      <c r="Z64" s="416" t="s">
        <v>180</v>
      </c>
    </row>
    <row r="65" spans="1:27" ht="17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O65" s="321" t="s">
        <v>172</v>
      </c>
      <c r="P65" s="321"/>
      <c r="Q65" s="416" t="s">
        <v>196</v>
      </c>
      <c r="R65" s="416" t="s">
        <v>255</v>
      </c>
      <c r="S65" s="322"/>
      <c r="T65" s="416" t="s">
        <v>186</v>
      </c>
      <c r="U65" s="322"/>
      <c r="V65" s="416" t="s">
        <v>278</v>
      </c>
      <c r="W65" s="322"/>
      <c r="X65" s="416" t="s">
        <v>186</v>
      </c>
      <c r="Y65" s="322"/>
      <c r="Z65" s="416" t="s">
        <v>186</v>
      </c>
    </row>
    <row r="66" spans="1:27" ht="17.10000000000000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O66" s="326" t="s">
        <v>173</v>
      </c>
      <c r="P66" s="326"/>
      <c r="Q66" s="327" t="s">
        <v>181</v>
      </c>
      <c r="R66" s="346">
        <v>-3</v>
      </c>
      <c r="S66" s="322"/>
      <c r="T66" s="327" t="s">
        <v>454</v>
      </c>
      <c r="U66" s="322"/>
      <c r="V66" s="346">
        <v>-5</v>
      </c>
      <c r="W66" s="322"/>
      <c r="X66" s="327" t="s">
        <v>455</v>
      </c>
      <c r="Y66" s="322"/>
      <c r="Z66" s="418" t="s">
        <v>464</v>
      </c>
    </row>
    <row r="67" spans="1:27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O67" s="322"/>
      <c r="P67" s="322"/>
      <c r="Q67" s="322"/>
      <c r="R67" s="322"/>
      <c r="S67" s="322"/>
      <c r="T67" s="381">
        <f>+R95</f>
        <v>0.47139999999999999</v>
      </c>
      <c r="U67" s="332"/>
      <c r="V67" s="332"/>
      <c r="W67" s="332"/>
      <c r="X67" s="332">
        <f>1-T67</f>
        <v>0.52859999999999996</v>
      </c>
      <c r="Y67" s="322"/>
      <c r="Z67" s="322"/>
    </row>
    <row r="68" spans="1:27" ht="17.10000000000000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O68" s="330" t="s">
        <v>174</v>
      </c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</row>
    <row r="69" spans="1:27" ht="17.10000000000000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O69" s="322" t="s">
        <v>318</v>
      </c>
      <c r="P69" s="322"/>
      <c r="Q69" s="407">
        <f t="shared" ref="Q69:Q74" si="9">+R19</f>
        <v>135717</v>
      </c>
      <c r="R69" s="382">
        <f t="shared" ref="R69:R74" si="10">+V19</f>
        <v>0.14910000000000001</v>
      </c>
      <c r="S69" s="332"/>
      <c r="T69" s="382">
        <f>ROUND(+R69*$T$67,4)</f>
        <v>7.0300000000000001E-2</v>
      </c>
      <c r="U69" s="332"/>
      <c r="V69" s="382">
        <f>+'Ftr 3 &amp; 6'!I17</f>
        <v>0.47810000000000002</v>
      </c>
      <c r="W69" s="332"/>
      <c r="X69" s="382">
        <f>ROUND(+V69*$X$67,4)</f>
        <v>0.25269999999999998</v>
      </c>
      <c r="Y69" s="332"/>
      <c r="Z69" s="382">
        <f t="shared" ref="Z69:Z74" si="11">X69+T69</f>
        <v>0.32299999999999995</v>
      </c>
      <c r="AA69" s="34">
        <f>+'Ftr 3 &amp; 6'!G17</f>
        <v>560879.30329144862</v>
      </c>
    </row>
    <row r="70" spans="1:27" ht="17.10000000000000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O70" s="322" t="s">
        <v>314</v>
      </c>
      <c r="P70" s="322"/>
      <c r="Q70" s="407">
        <f t="shared" si="9"/>
        <v>81643</v>
      </c>
      <c r="R70" s="382">
        <f t="shared" si="10"/>
        <v>8.9700000000000002E-2</v>
      </c>
      <c r="S70" s="332"/>
      <c r="T70" s="382">
        <f>ROUND(+R70*$T$67,4)</f>
        <v>4.2299999999999997E-2</v>
      </c>
      <c r="U70" s="332"/>
      <c r="V70" s="382">
        <f>+'Ftr 3 &amp; 6'!I18</f>
        <v>0.2576</v>
      </c>
      <c r="W70" s="332"/>
      <c r="X70" s="382">
        <f t="shared" ref="X70:X74" si="12">ROUND(+V70*$X$67,4)</f>
        <v>0.13619999999999999</v>
      </c>
      <c r="Y70" s="332"/>
      <c r="Z70" s="382">
        <f t="shared" si="11"/>
        <v>0.17849999999999999</v>
      </c>
      <c r="AA70" s="34">
        <f>+'Ftr 3 &amp; 6'!G18</f>
        <v>302172.14974906511</v>
      </c>
    </row>
    <row r="71" spans="1:27" ht="17.10000000000000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O71" s="322" t="s">
        <v>315</v>
      </c>
      <c r="P71" s="322"/>
      <c r="Q71" s="407">
        <f t="shared" si="9"/>
        <v>29803</v>
      </c>
      <c r="R71" s="382">
        <f t="shared" si="10"/>
        <v>3.2800000000000003E-2</v>
      </c>
      <c r="S71" s="332"/>
      <c r="T71" s="382">
        <f t="shared" ref="T71:T74" si="13">ROUND(+R71*$T$67,4)</f>
        <v>1.55E-2</v>
      </c>
      <c r="U71" s="332"/>
      <c r="V71" s="382">
        <f>+'Ftr 3 &amp; 6'!I19</f>
        <v>6.3E-2</v>
      </c>
      <c r="W71" s="332"/>
      <c r="X71" s="382">
        <f t="shared" si="12"/>
        <v>3.3300000000000003E-2</v>
      </c>
      <c r="Y71" s="332"/>
      <c r="Z71" s="382">
        <f t="shared" si="11"/>
        <v>4.8800000000000003E-2</v>
      </c>
      <c r="AA71" s="34">
        <f>+'Ftr 3 &amp; 6'!G19</f>
        <v>73938</v>
      </c>
    </row>
    <row r="72" spans="1:27" ht="17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O72" s="322" t="s">
        <v>316</v>
      </c>
      <c r="P72" s="322"/>
      <c r="Q72" s="407">
        <f t="shared" si="9"/>
        <v>59288</v>
      </c>
      <c r="R72" s="382">
        <f t="shared" si="10"/>
        <v>6.5199999999999994E-2</v>
      </c>
      <c r="S72" s="332"/>
      <c r="T72" s="382">
        <f t="shared" si="13"/>
        <v>3.0700000000000002E-2</v>
      </c>
      <c r="U72" s="332"/>
      <c r="V72" s="382">
        <f>+'Ftr 3 &amp; 6'!I20</f>
        <v>3.5200000000000002E-2</v>
      </c>
      <c r="W72" s="332"/>
      <c r="X72" s="382">
        <f t="shared" si="12"/>
        <v>1.8599999999999998E-2</v>
      </c>
      <c r="Y72" s="332"/>
      <c r="Z72" s="382">
        <f t="shared" si="11"/>
        <v>4.9299999999999997E-2</v>
      </c>
      <c r="AA72" s="34">
        <f>+'Ftr 3 &amp; 6'!G20</f>
        <v>41314</v>
      </c>
    </row>
    <row r="73" spans="1:27" ht="17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O73" s="322" t="s">
        <v>462</v>
      </c>
      <c r="P73" s="322"/>
      <c r="Q73" s="407">
        <f t="shared" si="9"/>
        <v>450366</v>
      </c>
      <c r="R73" s="382">
        <f t="shared" si="10"/>
        <v>0.49509999999999998</v>
      </c>
      <c r="S73" s="332"/>
      <c r="T73" s="382">
        <f t="shared" si="13"/>
        <v>0.2334</v>
      </c>
      <c r="U73" s="332"/>
      <c r="V73" s="382">
        <f>+'Ftr 3 &amp; 6'!I22</f>
        <v>0.1661</v>
      </c>
      <c r="W73" s="332"/>
      <c r="X73" s="382">
        <f t="shared" si="12"/>
        <v>8.7800000000000003E-2</v>
      </c>
      <c r="Y73" s="332"/>
      <c r="Z73" s="382">
        <f t="shared" si="11"/>
        <v>0.32119999999999999</v>
      </c>
      <c r="AA73" s="34"/>
    </row>
    <row r="74" spans="1:27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O74" s="322" t="s">
        <v>424</v>
      </c>
      <c r="P74" s="322"/>
      <c r="Q74" s="413">
        <f t="shared" si="9"/>
        <v>152912</v>
      </c>
      <c r="R74" s="382">
        <f t="shared" si="10"/>
        <v>0.1681</v>
      </c>
      <c r="S74" s="332"/>
      <c r="T74" s="382">
        <f t="shared" si="13"/>
        <v>7.9200000000000007E-2</v>
      </c>
      <c r="U74" s="332"/>
      <c r="V74" s="382">
        <f>+V49</f>
        <v>0</v>
      </c>
      <c r="W74" s="332"/>
      <c r="X74" s="382">
        <f t="shared" si="12"/>
        <v>0</v>
      </c>
      <c r="Y74" s="332"/>
      <c r="Z74" s="382">
        <f t="shared" si="11"/>
        <v>7.9200000000000007E-2</v>
      </c>
      <c r="AA74" s="34"/>
    </row>
    <row r="75" spans="1:27" ht="11.4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O75" s="322"/>
      <c r="P75" s="322"/>
      <c r="Q75" s="322"/>
      <c r="R75" s="419"/>
      <c r="S75" s="332"/>
      <c r="T75" s="419"/>
      <c r="U75" s="332"/>
      <c r="V75" s="419"/>
      <c r="W75" s="332"/>
      <c r="X75" s="419"/>
      <c r="Y75" s="332"/>
      <c r="Z75" s="419"/>
    </row>
    <row r="76" spans="1:27" ht="17.100000000000001" customHeight="1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O76" s="322" t="s">
        <v>176</v>
      </c>
      <c r="P76" s="322"/>
      <c r="Q76" s="436">
        <f>SUM(Q69:Q75)</f>
        <v>909729</v>
      </c>
      <c r="R76" s="384">
        <f>SUM(R69:R74)</f>
        <v>1</v>
      </c>
      <c r="S76" s="4"/>
      <c r="T76" s="384">
        <f>SUM(T69:T74)</f>
        <v>0.47139999999999999</v>
      </c>
      <c r="U76" s="4"/>
      <c r="V76" s="384">
        <f>SUM(V69:V74)</f>
        <v>1</v>
      </c>
      <c r="W76" s="4"/>
      <c r="X76" s="384">
        <f>SUM(X69:X74)</f>
        <v>0.52859999999999996</v>
      </c>
      <c r="Y76" s="4"/>
      <c r="Z76" s="384">
        <f>SUM(Z69:Z74)</f>
        <v>0.99999999999999989</v>
      </c>
      <c r="AA76" s="34">
        <f>SUM(AA69:AA75)</f>
        <v>978303.45304051368</v>
      </c>
    </row>
    <row r="77" spans="1:27" ht="6.75" customHeight="1" thickTop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27">
      <c r="A78" s="4"/>
      <c r="B78" s="1031" t="s">
        <v>802</v>
      </c>
      <c r="C78" s="1031"/>
      <c r="D78" s="1031"/>
      <c r="E78" s="1031"/>
      <c r="F78" s="1031"/>
      <c r="G78" s="1031"/>
      <c r="H78" s="1031"/>
      <c r="I78" s="1031"/>
      <c r="J78" s="1031"/>
      <c r="K78" s="1031"/>
      <c r="L78" s="290"/>
      <c r="M78" s="289"/>
      <c r="N78" s="289"/>
    </row>
    <row r="79" spans="1:27">
      <c r="B79" s="1031" t="s">
        <v>177</v>
      </c>
      <c r="C79" s="1031"/>
      <c r="D79" s="1031"/>
      <c r="E79" s="1031"/>
      <c r="F79" s="1031"/>
      <c r="G79" s="1031"/>
      <c r="H79" s="1031"/>
      <c r="I79" s="1031"/>
      <c r="J79" s="1031"/>
      <c r="K79" s="1031"/>
      <c r="L79" s="289"/>
      <c r="M79" s="289"/>
      <c r="N79" s="289"/>
    </row>
    <row r="80" spans="1:27"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289"/>
      <c r="M80" s="289"/>
      <c r="N80" s="289"/>
    </row>
    <row r="81" spans="1:35">
      <c r="A81" s="4"/>
      <c r="B81" s="4"/>
      <c r="C81" s="4"/>
      <c r="D81" s="4"/>
      <c r="E81" s="4"/>
      <c r="F81" s="320"/>
      <c r="G81" s="320"/>
      <c r="H81" s="320"/>
      <c r="I81" s="320"/>
      <c r="K81" s="696" t="s">
        <v>195</v>
      </c>
      <c r="L81" s="292"/>
      <c r="M81" s="292"/>
      <c r="N81" s="292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>
      <c r="A82" s="19"/>
      <c r="B82" s="4"/>
      <c r="F82" s="696" t="s">
        <v>187</v>
      </c>
      <c r="G82" s="320"/>
      <c r="H82" s="320" t="s">
        <v>191</v>
      </c>
      <c r="I82" s="320"/>
      <c r="K82" s="320" t="s">
        <v>178</v>
      </c>
      <c r="L82" s="292"/>
      <c r="M82" s="292"/>
      <c r="N82" s="292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>
      <c r="A83" s="19"/>
      <c r="B83" s="2" t="s">
        <v>171</v>
      </c>
      <c r="C83" s="335"/>
      <c r="D83" s="335"/>
      <c r="F83" s="320" t="s">
        <v>786</v>
      </c>
      <c r="G83" s="320"/>
      <c r="H83" s="320" t="s">
        <v>192</v>
      </c>
      <c r="I83" s="320"/>
      <c r="K83" s="907" t="s">
        <v>797</v>
      </c>
      <c r="L83" s="292"/>
      <c r="M83" s="292"/>
      <c r="N83" s="292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B84" s="2" t="s">
        <v>172</v>
      </c>
      <c r="C84" s="2"/>
      <c r="D84" s="2"/>
      <c r="F84" s="320" t="s">
        <v>796</v>
      </c>
      <c r="G84" s="320"/>
      <c r="H84" s="320" t="s">
        <v>193</v>
      </c>
      <c r="I84" s="320"/>
      <c r="K84" s="907" t="s">
        <v>196</v>
      </c>
      <c r="L84" s="292"/>
      <c r="M84" s="292"/>
      <c r="N84" s="292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B85" s="14"/>
      <c r="C85" s="854"/>
      <c r="D85" s="854"/>
      <c r="F85" s="9"/>
      <c r="G85" s="320"/>
      <c r="H85" s="9"/>
      <c r="I85" s="320"/>
      <c r="K85" s="9"/>
      <c r="L85" s="294"/>
      <c r="M85" s="9"/>
      <c r="N85" s="294" t="s">
        <v>545</v>
      </c>
      <c r="O85" s="294" t="s">
        <v>546</v>
      </c>
      <c r="T85" s="1" t="s">
        <v>196</v>
      </c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>
      <c r="B86" s="4"/>
      <c r="F86" s="11"/>
      <c r="G86" s="11"/>
      <c r="H86" s="11"/>
      <c r="I86" s="11"/>
      <c r="K86" s="11"/>
      <c r="L86" s="295"/>
      <c r="M86" s="855" t="s">
        <v>547</v>
      </c>
      <c r="N86" s="433" t="s">
        <v>613</v>
      </c>
      <c r="O86" s="433" t="s">
        <v>614</v>
      </c>
      <c r="Q86" s="433" t="s">
        <v>548</v>
      </c>
      <c r="R86" s="536" t="s">
        <v>325</v>
      </c>
      <c r="T86" s="536" t="s">
        <v>625</v>
      </c>
      <c r="AA86" s="20"/>
      <c r="AB86" s="20"/>
      <c r="AC86" s="18"/>
      <c r="AD86" s="18"/>
      <c r="AE86" s="18"/>
      <c r="AF86" s="18"/>
      <c r="AG86" s="18"/>
      <c r="AH86" s="18"/>
      <c r="AI86" s="18"/>
    </row>
    <row r="87" spans="1:35">
      <c r="B87" s="4" t="s">
        <v>175</v>
      </c>
      <c r="F87" s="11">
        <v>43403360.485368289</v>
      </c>
      <c r="G87" s="11"/>
      <c r="H87" s="11"/>
      <c r="I87" s="11"/>
      <c r="K87" s="171">
        <v>49536785.145429537</v>
      </c>
      <c r="L87" s="295"/>
      <c r="M87" s="11">
        <f>ROUND(+K87/365,0)</f>
        <v>135717</v>
      </c>
      <c r="N87" s="295">
        <v>727115.31806016888</v>
      </c>
      <c r="O87" s="295">
        <v>696596.30329144862</v>
      </c>
      <c r="Q87" s="429">
        <f>+O87/M87</f>
        <v>5.1327122121138</v>
      </c>
      <c r="R87" s="229">
        <v>592467</v>
      </c>
      <c r="T87" s="229">
        <f>+K87/R87</f>
        <v>83.611045248814762</v>
      </c>
      <c r="V87" s="529"/>
      <c r="X87" s="510"/>
      <c r="Z87" s="529"/>
      <c r="AA87" s="20"/>
      <c r="AB87" s="20"/>
      <c r="AC87" s="18"/>
      <c r="AD87" s="18"/>
      <c r="AE87" s="18"/>
      <c r="AF87" s="18"/>
      <c r="AG87" s="18"/>
      <c r="AH87" s="18"/>
      <c r="AI87" s="18"/>
    </row>
    <row r="88" spans="1:35">
      <c r="B88" s="4" t="s">
        <v>313</v>
      </c>
      <c r="F88" s="11">
        <v>17259181.927637868</v>
      </c>
      <c r="G88" s="11"/>
      <c r="H88" s="11"/>
      <c r="I88" s="11"/>
      <c r="K88" s="171">
        <v>29799654.44245936</v>
      </c>
      <c r="L88" s="295"/>
      <c r="M88" s="11">
        <f t="shared" ref="M88:M92" si="14">ROUND(+K88/365,0)</f>
        <v>81643</v>
      </c>
      <c r="N88" s="295">
        <v>400673.0933512426</v>
      </c>
      <c r="O88" s="295">
        <v>383815.14974906511</v>
      </c>
      <c r="Q88" s="429">
        <f t="shared" ref="Q88:Q91" si="15">+O88/M88</f>
        <v>4.7011397149671756</v>
      </c>
      <c r="R88" s="229">
        <v>68143.897777777776</v>
      </c>
      <c r="T88" s="229">
        <f t="shared" ref="T88:T92" si="16">+K88/R88</f>
        <v>437.30481252537402</v>
      </c>
      <c r="V88" s="529"/>
      <c r="X88" s="510"/>
      <c r="Z88" s="529"/>
      <c r="AA88" s="20"/>
      <c r="AB88" s="20"/>
      <c r="AC88" s="18"/>
      <c r="AD88" s="18"/>
      <c r="AE88" s="18"/>
      <c r="AF88" s="18"/>
      <c r="AG88" s="18"/>
      <c r="AH88" s="18"/>
      <c r="AI88" s="18"/>
    </row>
    <row r="89" spans="1:35">
      <c r="B89" s="291" t="s">
        <v>288</v>
      </c>
      <c r="C89" s="293"/>
      <c r="D89" s="293"/>
      <c r="E89" s="293"/>
      <c r="F89" s="295"/>
      <c r="G89" s="295"/>
      <c r="H89" s="295"/>
      <c r="I89" s="295"/>
      <c r="K89" s="171">
        <v>10878009.55293772</v>
      </c>
      <c r="L89" s="295"/>
      <c r="M89" s="11">
        <f t="shared" si="14"/>
        <v>29803</v>
      </c>
      <c r="N89" s="295">
        <v>108366</v>
      </c>
      <c r="O89" s="295">
        <v>103741</v>
      </c>
      <c r="Q89" s="429">
        <f t="shared" si="15"/>
        <v>3.4808911854511293</v>
      </c>
      <c r="R89" s="229">
        <v>1554</v>
      </c>
      <c r="T89" s="229">
        <f t="shared" si="16"/>
        <v>7000.0061473215701</v>
      </c>
      <c r="V89" s="529"/>
      <c r="X89" s="510"/>
      <c r="Z89" s="529"/>
      <c r="AA89" s="20"/>
      <c r="AB89" s="20"/>
      <c r="AC89" s="18"/>
      <c r="AD89" s="18"/>
      <c r="AE89" s="18"/>
      <c r="AF89" s="18"/>
      <c r="AG89" s="18"/>
      <c r="AH89" s="18"/>
      <c r="AI89" s="18"/>
    </row>
    <row r="90" spans="1:35">
      <c r="B90" s="291" t="s">
        <v>286</v>
      </c>
      <c r="C90" s="293"/>
      <c r="D90" s="293"/>
      <c r="E90" s="293"/>
      <c r="F90" s="295"/>
      <c r="G90" s="295"/>
      <c r="H90" s="295"/>
      <c r="I90" s="295"/>
      <c r="K90" s="171">
        <v>21640264.712493349</v>
      </c>
      <c r="L90" s="295"/>
      <c r="M90" s="295">
        <f t="shared" si="14"/>
        <v>59288</v>
      </c>
      <c r="N90" s="295">
        <v>105220.58858858858</v>
      </c>
      <c r="O90" s="295">
        <v>100602</v>
      </c>
      <c r="Q90" s="429">
        <f t="shared" si="15"/>
        <v>1.6968357846444475</v>
      </c>
      <c r="R90" s="229">
        <v>470</v>
      </c>
      <c r="T90" s="229">
        <f t="shared" si="16"/>
        <v>46043.116409560316</v>
      </c>
      <c r="V90" s="529"/>
      <c r="X90" s="510"/>
      <c r="Z90" s="529"/>
      <c r="AA90" s="20"/>
      <c r="AB90" s="20"/>
      <c r="AC90" s="18"/>
      <c r="AD90" s="18"/>
      <c r="AE90" s="18"/>
      <c r="AF90" s="18"/>
      <c r="AG90" s="18"/>
      <c r="AH90" s="18"/>
      <c r="AI90" s="18"/>
    </row>
    <row r="91" spans="1:35">
      <c r="B91" s="291" t="s">
        <v>795</v>
      </c>
      <c r="C91" s="293"/>
      <c r="D91" s="293"/>
      <c r="E91" s="293"/>
      <c r="F91" s="295"/>
      <c r="G91" s="295"/>
      <c r="H91" s="295"/>
      <c r="I91" s="295"/>
      <c r="K91" s="171">
        <v>164383646</v>
      </c>
      <c r="L91" s="295"/>
      <c r="M91" s="295">
        <f t="shared" si="14"/>
        <v>450366</v>
      </c>
      <c r="N91" s="295">
        <v>669563</v>
      </c>
      <c r="O91" s="295">
        <v>645186</v>
      </c>
      <c r="Q91" s="429">
        <f t="shared" si="15"/>
        <v>1.4325815003796911</v>
      </c>
      <c r="R91" s="229">
        <v>54</v>
      </c>
      <c r="T91" s="229">
        <f t="shared" si="16"/>
        <v>3044141.5925925928</v>
      </c>
      <c r="V91" s="529"/>
      <c r="X91" s="510"/>
      <c r="Z91" s="529"/>
      <c r="AA91" s="20"/>
      <c r="AB91" s="20"/>
      <c r="AC91" s="18"/>
      <c r="AD91" s="18"/>
      <c r="AE91" s="18"/>
      <c r="AF91" s="18"/>
      <c r="AG91" s="18"/>
      <c r="AH91" s="18"/>
      <c r="AI91" s="18"/>
    </row>
    <row r="92" spans="1:35">
      <c r="B92" s="291" t="s">
        <v>424</v>
      </c>
      <c r="C92" s="293"/>
      <c r="D92" s="293"/>
      <c r="E92" s="293"/>
      <c r="F92" s="295">
        <v>0</v>
      </c>
      <c r="G92" s="295"/>
      <c r="H92" s="295"/>
      <c r="I92" s="295"/>
      <c r="K92" s="171">
        <v>55812941.168134853</v>
      </c>
      <c r="L92" s="295"/>
      <c r="M92" s="295">
        <f t="shared" si="14"/>
        <v>152912</v>
      </c>
      <c r="N92" s="295"/>
      <c r="O92" s="295"/>
      <c r="R92" s="229">
        <v>380</v>
      </c>
      <c r="T92" s="229">
        <f t="shared" si="16"/>
        <v>146876.16096877592</v>
      </c>
      <c r="V92" s="529"/>
      <c r="AA92" s="20"/>
      <c r="AB92" s="20"/>
      <c r="AC92" s="18"/>
      <c r="AD92" s="18"/>
      <c r="AE92" s="18"/>
      <c r="AF92" s="18"/>
      <c r="AG92" s="18"/>
      <c r="AH92" s="18"/>
      <c r="AI92" s="18"/>
    </row>
    <row r="93" spans="1:35">
      <c r="B93" s="291"/>
      <c r="C93" s="293"/>
      <c r="D93" s="293"/>
      <c r="E93" s="293"/>
      <c r="F93" s="295"/>
      <c r="G93" s="295"/>
      <c r="H93" s="295"/>
      <c r="I93" s="295"/>
      <c r="K93" s="295"/>
      <c r="L93" s="295"/>
      <c r="M93" s="295"/>
      <c r="N93" s="295"/>
      <c r="O93" s="227"/>
      <c r="AA93" s="20"/>
      <c r="AB93" s="127"/>
      <c r="AC93" s="18"/>
      <c r="AD93" s="18"/>
      <c r="AE93" s="18"/>
      <c r="AF93" s="18"/>
      <c r="AG93" s="18"/>
      <c r="AH93" s="18"/>
      <c r="AI93" s="18"/>
    </row>
    <row r="94" spans="1:35">
      <c r="B94" s="291"/>
      <c r="C94" s="293"/>
      <c r="D94" s="293"/>
      <c r="E94" s="293"/>
      <c r="F94" s="296"/>
      <c r="G94" s="295"/>
      <c r="H94" s="296"/>
      <c r="I94" s="295"/>
      <c r="K94" s="296"/>
      <c r="L94" s="296"/>
      <c r="M94" s="296"/>
      <c r="N94" s="296"/>
      <c r="AA94" s="20"/>
      <c r="AB94" s="127"/>
      <c r="AC94" s="18"/>
      <c r="AD94" s="18"/>
      <c r="AE94" s="18"/>
      <c r="AF94" s="18"/>
      <c r="AG94" s="18"/>
      <c r="AH94" s="18"/>
      <c r="AI94" s="18"/>
    </row>
    <row r="95" spans="1:35" ht="15.75" thickBot="1">
      <c r="B95" s="291" t="s">
        <v>178</v>
      </c>
      <c r="C95" s="293"/>
      <c r="D95" s="293"/>
      <c r="E95" s="293"/>
      <c r="F95" s="295">
        <f>SUM(F87:F93)</f>
        <v>60662542.413006157</v>
      </c>
      <c r="G95" s="295"/>
      <c r="H95" s="295">
        <f>SUM(H87:H93)</f>
        <v>0</v>
      </c>
      <c r="I95" s="295"/>
      <c r="K95" s="295">
        <f>SUM(K87:K93)</f>
        <v>332051301.02145481</v>
      </c>
      <c r="L95" s="295"/>
      <c r="M95" s="295">
        <f>SUM(M87:M93)</f>
        <v>909729</v>
      </c>
      <c r="N95" s="295">
        <f>SUM(N87:N93)</f>
        <v>2010938.0000000002</v>
      </c>
      <c r="O95" s="295">
        <f>SUM(O87:O93)</f>
        <v>1929940.4530405137</v>
      </c>
      <c r="Q95" s="429">
        <f>+O95/M95</f>
        <v>2.1214454557791536</v>
      </c>
      <c r="R95" s="446">
        <f>ROUND(M95/O95,4)</f>
        <v>0.47139999999999999</v>
      </c>
      <c r="AA95" s="20"/>
      <c r="AB95" s="20"/>
      <c r="AC95" s="18"/>
      <c r="AD95" s="18"/>
      <c r="AE95" s="18"/>
      <c r="AF95" s="18"/>
      <c r="AG95" s="18"/>
      <c r="AH95" s="18"/>
      <c r="AI95" s="18"/>
    </row>
    <row r="96" spans="1:35" ht="16.5" thickTop="1" thickBot="1">
      <c r="B96" s="291"/>
      <c r="C96" s="297"/>
      <c r="D96" s="297"/>
      <c r="E96" s="297"/>
      <c r="F96" s="298"/>
      <c r="G96" s="295"/>
      <c r="H96" s="298"/>
      <c r="I96" s="295"/>
      <c r="J96" s="295" t="s">
        <v>287</v>
      </c>
      <c r="K96" s="298"/>
      <c r="L96" s="298"/>
      <c r="M96" s="298">
        <f>SUM(M87:M91)</f>
        <v>756817</v>
      </c>
      <c r="N96" s="298"/>
      <c r="O96" s="298">
        <f>+O95</f>
        <v>1929940.4530405137</v>
      </c>
      <c r="Q96" s="429">
        <f>+O96/M96</f>
        <v>2.5500754515827655</v>
      </c>
      <c r="AA96" s="20"/>
      <c r="AB96" s="20"/>
      <c r="AC96" s="18"/>
      <c r="AD96" s="18"/>
      <c r="AE96" s="18"/>
      <c r="AF96" s="18"/>
      <c r="AG96" s="18"/>
      <c r="AH96" s="18"/>
      <c r="AI96" s="18"/>
    </row>
    <row r="97" spans="2:35" ht="16.5" thickTop="1" thickBot="1">
      <c r="B97" s="291"/>
      <c r="C97" s="293"/>
      <c r="D97" s="293"/>
      <c r="E97" s="293"/>
      <c r="F97" s="295"/>
      <c r="G97" s="295"/>
      <c r="H97" s="295"/>
      <c r="I97" s="295"/>
      <c r="J97" s="295" t="s">
        <v>436</v>
      </c>
      <c r="K97" s="298"/>
      <c r="L97" s="295"/>
      <c r="M97" s="295">
        <f t="shared" ref="M97:M98" si="17">ROUND(+K97/365,0)</f>
        <v>0</v>
      </c>
      <c r="N97" s="295"/>
      <c r="Q97" s="429"/>
      <c r="R97" s="13"/>
      <c r="S97" s="4"/>
      <c r="T97" s="13"/>
      <c r="U97" s="4"/>
      <c r="V97" s="13"/>
      <c r="W97" s="4"/>
      <c r="X97" s="13"/>
      <c r="Y97" s="4"/>
      <c r="Z97" s="13"/>
      <c r="AA97" s="20"/>
      <c r="AB97" s="20"/>
      <c r="AC97" s="18"/>
      <c r="AD97" s="18"/>
      <c r="AE97" s="18"/>
      <c r="AF97" s="18"/>
      <c r="AG97" s="18"/>
      <c r="AH97" s="18"/>
      <c r="AI97" s="18"/>
    </row>
    <row r="98" spans="2:35" ht="15.75" thickTop="1">
      <c r="B98" s="291"/>
      <c r="C98" s="293"/>
      <c r="D98" s="293"/>
      <c r="E98" s="293"/>
      <c r="F98" s="295"/>
      <c r="G98" s="295"/>
      <c r="H98" s="295"/>
      <c r="I98" s="295"/>
      <c r="J98" s="295" t="s">
        <v>557</v>
      </c>
      <c r="K98" s="298"/>
      <c r="L98" s="295"/>
      <c r="M98" s="295">
        <f t="shared" si="17"/>
        <v>0</v>
      </c>
      <c r="N98" s="295"/>
      <c r="Q98" s="429"/>
      <c r="AA98" s="20"/>
      <c r="AB98" s="20"/>
      <c r="AC98" s="18"/>
      <c r="AD98" s="18"/>
      <c r="AE98" s="18"/>
      <c r="AF98" s="18"/>
      <c r="AG98" s="18"/>
      <c r="AH98" s="18"/>
      <c r="AI98" s="18"/>
    </row>
    <row r="99" spans="2:35">
      <c r="B99" s="293"/>
      <c r="C99" s="293"/>
      <c r="D99" s="293"/>
      <c r="E99" s="293"/>
      <c r="F99" s="295"/>
      <c r="G99" s="295"/>
      <c r="H99" s="295"/>
      <c r="I99" s="295"/>
      <c r="J99" s="295"/>
      <c r="L99" s="295"/>
      <c r="M99" s="295"/>
      <c r="N99" s="295"/>
      <c r="O99" s="3"/>
      <c r="P99" s="3"/>
      <c r="Q99" s="429"/>
      <c r="R99" s="3"/>
      <c r="S99" s="3"/>
      <c r="T99" s="3"/>
      <c r="U99" s="15"/>
      <c r="AA99" s="20"/>
      <c r="AB99" s="20"/>
      <c r="AC99" s="18"/>
      <c r="AD99" s="18"/>
      <c r="AE99" s="18"/>
      <c r="AF99" s="18"/>
      <c r="AG99" s="18"/>
      <c r="AH99" s="18"/>
      <c r="AI99" s="18"/>
    </row>
    <row r="100" spans="2:35">
      <c r="B100" s="293"/>
      <c r="C100" s="293"/>
      <c r="D100" s="293"/>
      <c r="E100" s="293"/>
      <c r="F100" s="299"/>
      <c r="G100" s="299"/>
      <c r="H100" s="299"/>
      <c r="I100" s="299"/>
      <c r="J100" s="299"/>
      <c r="K100" s="295" t="s">
        <v>816</v>
      </c>
      <c r="L100" s="299"/>
      <c r="M100" s="299">
        <f>SUM(M87:M90)+M92*0+Q49</f>
        <v>347600</v>
      </c>
      <c r="N100" s="299">
        <f>SUM(N87:N90)+N92</f>
        <v>1341375.0000000002</v>
      </c>
      <c r="O100" s="299">
        <f>SUM(O87:O90)+O92</f>
        <v>1284754.4530405137</v>
      </c>
      <c r="P100" s="3"/>
      <c r="Q100" s="429">
        <f t="shared" ref="Q100" si="18">+O100/M100</f>
        <v>3.6960714989658046</v>
      </c>
      <c r="R100" s="520">
        <f>+M100/O100</f>
        <v>0.27055753663851184</v>
      </c>
      <c r="S100" s="3"/>
      <c r="T100" s="3"/>
      <c r="U100" s="15"/>
      <c r="AA100" s="21"/>
      <c r="AB100" s="21"/>
    </row>
    <row r="101" spans="2:35">
      <c r="B101" s="291"/>
      <c r="C101" s="293"/>
      <c r="D101" s="293"/>
      <c r="E101" s="293"/>
      <c r="F101" s="295"/>
      <c r="G101" s="295"/>
      <c r="H101" s="295"/>
      <c r="I101" s="295"/>
      <c r="J101" s="295"/>
      <c r="K101" s="295"/>
      <c r="L101" s="295"/>
      <c r="M101" s="295"/>
      <c r="N101" s="295"/>
      <c r="O101" s="3"/>
      <c r="P101" s="3"/>
      <c r="Q101" s="3"/>
      <c r="R101" s="16"/>
      <c r="S101" s="3"/>
      <c r="T101" s="3"/>
      <c r="U101" s="15"/>
    </row>
    <row r="102" spans="2:35">
      <c r="B102" s="291"/>
      <c r="C102" s="293"/>
      <c r="D102" s="293"/>
      <c r="E102" s="293"/>
      <c r="F102" s="295"/>
      <c r="G102" s="295"/>
      <c r="H102" s="295"/>
      <c r="I102" s="295"/>
      <c r="J102" s="295"/>
      <c r="K102" s="295"/>
      <c r="L102" s="295"/>
      <c r="M102" s="295"/>
      <c r="N102" s="295"/>
      <c r="O102" s="17"/>
      <c r="P102" s="17"/>
      <c r="Q102" s="17"/>
      <c r="S102" s="18"/>
      <c r="T102" s="18"/>
      <c r="U102" s="18"/>
      <c r="V102" s="18"/>
      <c r="W102" s="18"/>
      <c r="X102" s="18"/>
      <c r="Y102" s="18"/>
      <c r="Z102" s="18"/>
    </row>
    <row r="103" spans="2:35">
      <c r="B103" s="291"/>
      <c r="C103" s="293"/>
      <c r="D103" s="293"/>
      <c r="E103" s="293"/>
      <c r="F103" s="295"/>
      <c r="G103" s="295"/>
      <c r="H103" s="295"/>
      <c r="I103" s="295"/>
      <c r="J103" s="295"/>
      <c r="K103" s="295"/>
      <c r="L103" s="295"/>
      <c r="M103" s="295"/>
      <c r="N103" s="295"/>
      <c r="O103" s="208"/>
      <c r="P103" s="208"/>
      <c r="Q103" s="208"/>
      <c r="R103" s="208"/>
      <c r="S103" s="173"/>
      <c r="T103" s="173"/>
      <c r="U103" s="173"/>
      <c r="V103" s="173"/>
      <c r="W103" s="18"/>
      <c r="X103" s="18"/>
      <c r="Y103" s="18"/>
      <c r="Z103" s="18"/>
    </row>
    <row r="104" spans="2:35">
      <c r="B104" s="291"/>
      <c r="C104" s="293"/>
      <c r="D104" s="293"/>
      <c r="E104" s="293"/>
      <c r="F104" s="295"/>
      <c r="G104" s="295"/>
      <c r="H104" s="295"/>
      <c r="I104" s="295"/>
      <c r="J104" s="295"/>
      <c r="K104" s="295"/>
      <c r="L104" s="295"/>
      <c r="M104" s="295"/>
      <c r="N104" s="295"/>
      <c r="O104" s="209"/>
      <c r="P104" s="208"/>
      <c r="Q104" s="208"/>
      <c r="R104" s="208"/>
      <c r="S104" s="173"/>
      <c r="T104" s="208"/>
      <c r="U104" s="173"/>
      <c r="V104" s="173"/>
      <c r="W104" s="18"/>
      <c r="X104" s="18"/>
      <c r="Y104" s="18"/>
      <c r="Z104" s="18"/>
    </row>
    <row r="105" spans="2:35">
      <c r="B105" s="291"/>
      <c r="C105" s="293"/>
      <c r="D105" s="293"/>
      <c r="E105" s="293"/>
      <c r="F105" s="295"/>
      <c r="G105" s="295"/>
      <c r="H105" s="295"/>
      <c r="I105" s="295"/>
      <c r="J105" s="295"/>
      <c r="K105" s="295"/>
      <c r="L105" s="295"/>
      <c r="M105" s="295"/>
      <c r="N105" s="295"/>
      <c r="O105" s="209"/>
      <c r="P105" s="33"/>
      <c r="Q105" s="208"/>
      <c r="R105" s="33"/>
      <c r="S105" s="173"/>
      <c r="T105" s="33"/>
      <c r="U105" s="173"/>
      <c r="V105" s="173"/>
      <c r="W105" s="18"/>
      <c r="X105" s="18"/>
      <c r="Y105" s="18"/>
      <c r="Z105" s="18"/>
    </row>
    <row r="106" spans="2:35">
      <c r="B106" s="291"/>
      <c r="C106" s="293"/>
      <c r="D106" s="293"/>
      <c r="E106" s="293"/>
      <c r="F106" s="295"/>
      <c r="G106" s="295"/>
      <c r="H106" s="295"/>
      <c r="I106" s="295"/>
      <c r="J106" s="295"/>
      <c r="K106" s="295"/>
      <c r="L106" s="295"/>
      <c r="M106" s="295"/>
      <c r="N106" s="295"/>
      <c r="O106" s="208"/>
      <c r="P106" s="208"/>
      <c r="Q106" s="208"/>
      <c r="R106" s="35"/>
      <c r="S106" s="173"/>
      <c r="T106" s="208"/>
      <c r="U106" s="173"/>
      <c r="V106" s="173"/>
      <c r="W106" s="18"/>
      <c r="X106" s="18"/>
      <c r="Y106" s="18"/>
      <c r="Z106" s="18"/>
    </row>
    <row r="107" spans="2:35">
      <c r="B107" s="291"/>
      <c r="C107" s="293"/>
      <c r="D107" s="293"/>
      <c r="E107" s="293"/>
      <c r="F107" s="295"/>
      <c r="G107" s="295"/>
      <c r="H107" s="295"/>
      <c r="I107" s="295"/>
      <c r="J107" s="295"/>
      <c r="K107" s="295"/>
      <c r="L107" s="295"/>
      <c r="M107" s="295"/>
      <c r="N107" s="295"/>
      <c r="O107" s="183"/>
      <c r="P107" s="36"/>
      <c r="Q107" s="183"/>
      <c r="R107" s="183"/>
      <c r="S107" s="183"/>
      <c r="T107" s="183"/>
      <c r="U107" s="183"/>
      <c r="V107" s="183"/>
      <c r="W107" s="20"/>
      <c r="X107" s="20"/>
      <c r="Y107" s="20"/>
      <c r="Z107" s="20"/>
    </row>
    <row r="108" spans="2:35">
      <c r="B108" s="291"/>
      <c r="C108" s="293"/>
      <c r="D108" s="293"/>
      <c r="E108" s="293"/>
      <c r="F108" s="296"/>
      <c r="G108" s="295"/>
      <c r="H108" s="296"/>
      <c r="I108" s="295"/>
      <c r="J108" s="296"/>
      <c r="K108" s="295"/>
      <c r="L108" s="296"/>
      <c r="M108" s="296"/>
      <c r="N108" s="296"/>
      <c r="O108" s="183"/>
      <c r="P108" s="183"/>
      <c r="Q108" s="183"/>
      <c r="R108" s="183"/>
      <c r="S108" s="183"/>
      <c r="T108" s="183"/>
      <c r="U108" s="183"/>
      <c r="V108" s="183"/>
      <c r="W108" s="20"/>
      <c r="X108" s="20"/>
      <c r="Y108" s="20"/>
      <c r="Z108" s="20"/>
    </row>
    <row r="109" spans="2:35" ht="15.75" thickBot="1">
      <c r="B109" s="291"/>
      <c r="C109" s="293"/>
      <c r="D109" s="293"/>
      <c r="E109" s="293"/>
      <c r="F109" s="295"/>
      <c r="G109" s="295"/>
      <c r="H109" s="295"/>
      <c r="I109" s="295"/>
      <c r="J109" s="295"/>
      <c r="K109" s="295"/>
      <c r="L109" s="295"/>
      <c r="M109" s="295"/>
      <c r="N109" s="295"/>
      <c r="O109" s="183"/>
      <c r="P109" s="183"/>
      <c r="Q109" s="183"/>
      <c r="R109" s="183"/>
      <c r="S109" s="183"/>
      <c r="T109" s="183"/>
      <c r="U109" s="183"/>
      <c r="V109" s="183"/>
      <c r="W109" s="20"/>
      <c r="X109" s="20"/>
      <c r="Y109" s="20"/>
      <c r="Z109" s="20"/>
    </row>
    <row r="110" spans="2:35" ht="15.75" thickTop="1">
      <c r="B110" s="293"/>
      <c r="C110" s="293"/>
      <c r="D110" s="293"/>
      <c r="E110" s="293"/>
      <c r="F110" s="300"/>
      <c r="G110" s="293"/>
      <c r="H110" s="300"/>
      <c r="I110" s="293"/>
      <c r="J110" s="300"/>
      <c r="K110" s="293"/>
      <c r="L110" s="300"/>
      <c r="M110" s="300"/>
      <c r="N110" s="300"/>
      <c r="O110" s="183"/>
      <c r="P110" s="183"/>
      <c r="Q110" s="183"/>
      <c r="R110" s="183"/>
      <c r="S110" s="183"/>
      <c r="T110" s="183"/>
      <c r="U110" s="183"/>
      <c r="V110" s="183"/>
      <c r="W110" s="20"/>
      <c r="X110" s="20"/>
      <c r="Y110" s="20"/>
      <c r="Z110" s="20"/>
    </row>
    <row r="111" spans="2:35"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183"/>
      <c r="P111" s="183"/>
      <c r="Q111" s="183"/>
      <c r="R111" s="183"/>
      <c r="S111" s="183"/>
      <c r="T111" s="183"/>
      <c r="U111" s="183"/>
      <c r="V111" s="183"/>
      <c r="W111" s="20"/>
      <c r="X111" s="20"/>
      <c r="Y111" s="20"/>
      <c r="Z111" s="20"/>
    </row>
    <row r="112" spans="2:3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83"/>
      <c r="P112" s="183"/>
      <c r="Q112" s="183"/>
      <c r="R112" s="183"/>
      <c r="S112" s="183"/>
      <c r="T112" s="183"/>
      <c r="U112" s="183"/>
      <c r="V112" s="183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83"/>
      <c r="P113" s="183"/>
      <c r="Q113" s="183"/>
      <c r="R113" s="183"/>
      <c r="S113" s="183"/>
      <c r="T113" s="183"/>
      <c r="U113" s="183"/>
      <c r="V113" s="183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127"/>
      <c r="M114" s="20"/>
      <c r="N114" s="20"/>
      <c r="O114" s="183"/>
      <c r="P114" s="132"/>
      <c r="Q114" s="183"/>
      <c r="R114" s="132"/>
      <c r="S114" s="183"/>
      <c r="T114" s="183"/>
      <c r="U114" s="183"/>
      <c r="V114" s="183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83"/>
      <c r="P115" s="132"/>
      <c r="Q115" s="183"/>
      <c r="R115" s="132"/>
      <c r="S115" s="183"/>
      <c r="T115" s="132"/>
      <c r="U115" s="183"/>
      <c r="V115" s="183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32"/>
      <c r="P116" s="132"/>
      <c r="Q116" s="132"/>
      <c r="R116" s="132"/>
      <c r="S116" s="183"/>
      <c r="T116" s="132"/>
      <c r="U116" s="183"/>
      <c r="V116" s="183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83"/>
      <c r="P117" s="183"/>
      <c r="Q117" s="183"/>
      <c r="R117" s="183"/>
      <c r="S117" s="183"/>
      <c r="T117" s="183"/>
      <c r="U117" s="183"/>
      <c r="V117" s="183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83"/>
      <c r="P118" s="183"/>
      <c r="Q118" s="183"/>
      <c r="R118" s="183"/>
      <c r="S118" s="183"/>
      <c r="T118" s="183"/>
      <c r="U118" s="183"/>
      <c r="V118" s="183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252"/>
      <c r="Q121" s="252"/>
      <c r="R121" s="252"/>
      <c r="S121" s="252"/>
      <c r="T121" s="252"/>
      <c r="U121" s="252"/>
      <c r="V121" s="252"/>
      <c r="W121" s="21"/>
      <c r="X121" s="21"/>
      <c r="Y121" s="21"/>
      <c r="Z121" s="21"/>
      <c r="AA121" s="20"/>
      <c r="AB121" s="20"/>
      <c r="AC121" s="20"/>
      <c r="AD121" s="20"/>
      <c r="AE121" s="20"/>
      <c r="AF121" s="20"/>
      <c r="AG121" s="20"/>
      <c r="AH121" s="20"/>
    </row>
    <row r="122" spans="2:34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83"/>
      <c r="Q122" s="183"/>
      <c r="R122" s="183"/>
      <c r="S122" s="183"/>
      <c r="T122" s="183"/>
      <c r="U122" s="36"/>
      <c r="V122" s="36"/>
      <c r="AA122" s="20"/>
      <c r="AB122" s="20"/>
      <c r="AC122" s="20"/>
      <c r="AD122" s="20"/>
      <c r="AE122" s="20"/>
      <c r="AF122" s="20"/>
      <c r="AG122" s="20"/>
      <c r="AH122" s="20"/>
    </row>
    <row r="123" spans="2:34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83"/>
      <c r="Q123" s="183"/>
      <c r="R123" s="183"/>
      <c r="S123" s="183"/>
      <c r="T123" s="183"/>
      <c r="U123" s="36"/>
      <c r="V123" s="36"/>
      <c r="AA123" s="20"/>
      <c r="AB123" s="20"/>
      <c r="AC123" s="20"/>
      <c r="AD123" s="20"/>
      <c r="AE123" s="20"/>
      <c r="AF123" s="20"/>
      <c r="AG123" s="20"/>
      <c r="AH123" s="20"/>
    </row>
    <row r="124" spans="2:34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83"/>
      <c r="Q124" s="183"/>
      <c r="R124" s="183"/>
      <c r="S124" s="183"/>
      <c r="T124" s="183"/>
      <c r="U124" s="36"/>
      <c r="V124" s="36"/>
      <c r="AA124" s="20"/>
      <c r="AB124" s="20"/>
      <c r="AC124" s="20"/>
      <c r="AD124" s="20"/>
      <c r="AE124" s="20"/>
      <c r="AF124" s="20"/>
      <c r="AG124" s="20"/>
      <c r="AH124" s="20"/>
    </row>
    <row r="125" spans="2:34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83"/>
      <c r="Q125" s="183"/>
      <c r="R125" s="183"/>
      <c r="S125" s="183"/>
      <c r="T125" s="183"/>
      <c r="U125" s="36"/>
      <c r="V125" s="36"/>
      <c r="AA125" s="20"/>
      <c r="AB125" s="20"/>
      <c r="AC125" s="20"/>
      <c r="AD125" s="20"/>
      <c r="AE125" s="20"/>
      <c r="AF125" s="20"/>
      <c r="AG125" s="20"/>
      <c r="AH125" s="20"/>
    </row>
    <row r="126" spans="2:34">
      <c r="O126" s="20"/>
      <c r="P126" s="183"/>
      <c r="Q126" s="183"/>
      <c r="R126" s="183"/>
      <c r="S126" s="183"/>
      <c r="T126" s="183"/>
      <c r="U126" s="36"/>
      <c r="V126" s="36"/>
    </row>
    <row r="127" spans="2:34">
      <c r="O127" s="20"/>
      <c r="P127" s="183"/>
      <c r="Q127" s="183"/>
      <c r="R127" s="183"/>
      <c r="S127" s="183"/>
      <c r="T127" s="183"/>
      <c r="U127" s="36"/>
      <c r="V127" s="36"/>
    </row>
    <row r="128" spans="2:34">
      <c r="O128" s="20"/>
      <c r="P128" s="132"/>
      <c r="Q128" s="183"/>
      <c r="R128" s="132"/>
      <c r="S128" s="183"/>
      <c r="T128" s="132"/>
      <c r="U128" s="36"/>
      <c r="V128" s="36"/>
    </row>
    <row r="129" spans="15:26">
      <c r="O129" s="20"/>
      <c r="P129" s="132"/>
      <c r="Q129" s="183"/>
      <c r="R129" s="132"/>
      <c r="S129" s="183"/>
      <c r="T129" s="132"/>
      <c r="U129" s="36"/>
      <c r="V129" s="36"/>
    </row>
    <row r="130" spans="15:26">
      <c r="O130" s="11"/>
      <c r="P130" s="132"/>
      <c r="Q130" s="132"/>
      <c r="R130" s="132"/>
      <c r="S130" s="183"/>
      <c r="T130" s="132"/>
      <c r="U130" s="36"/>
      <c r="V130" s="36"/>
    </row>
    <row r="131" spans="15:26">
      <c r="P131" s="35"/>
      <c r="Q131" s="36"/>
      <c r="R131" s="35"/>
      <c r="S131" s="36"/>
      <c r="T131" s="35"/>
      <c r="U131" s="36"/>
      <c r="V131" s="36"/>
    </row>
    <row r="132" spans="15:26">
      <c r="P132" s="36"/>
      <c r="Q132" s="36"/>
      <c r="R132" s="36"/>
      <c r="S132" s="36"/>
      <c r="T132" s="36"/>
      <c r="U132" s="36"/>
      <c r="V132" s="36"/>
    </row>
    <row r="133" spans="15:26"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5:26"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5:26"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5:26"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5:26"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5:26"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5:26"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5:26"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5:26"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5:26"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5:26"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5:26"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5:26"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5:26"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</sheetData>
  <mergeCells count="10">
    <mergeCell ref="B78:K78"/>
    <mergeCell ref="B79:K79"/>
    <mergeCell ref="Q37:T37"/>
    <mergeCell ref="Q38:T38"/>
    <mergeCell ref="A1:K1"/>
    <mergeCell ref="A3:K3"/>
    <mergeCell ref="O28:Z28"/>
    <mergeCell ref="O30:Z30"/>
    <mergeCell ref="O1:W1"/>
    <mergeCell ref="O3:W3"/>
  </mergeCells>
  <phoneticPr fontId="9" type="noConversion"/>
  <printOptions horizontalCentered="1"/>
  <pageMargins left="0.8" right="0.4" top="1" bottom="0.2" header="0" footer="0"/>
  <pageSetup scale="90" orientation="portrait" r:id="rId1"/>
  <headerFooter alignWithMargins="0"/>
  <rowBreaks count="1" manualBreakCount="1">
    <brk id="27" min="1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144"/>
  <sheetViews>
    <sheetView workbookViewId="0">
      <selection sqref="A1:K1"/>
    </sheetView>
  </sheetViews>
  <sheetFormatPr defaultColWidth="9.6640625" defaultRowHeight="15"/>
  <cols>
    <col min="1" max="1" width="14.21875" style="1" customWidth="1"/>
    <col min="2" max="2" width="1.6640625" style="1" customWidth="1"/>
    <col min="3" max="3" width="11.44140625" style="1" customWidth="1"/>
    <col min="4" max="4" width="1.21875" style="1" customWidth="1"/>
    <col min="5" max="5" width="13" style="1" customWidth="1"/>
    <col min="6" max="6" width="1.33203125" style="1" customWidth="1"/>
    <col min="7" max="7" width="12.6640625" style="229" customWidth="1"/>
    <col min="8" max="8" width="1.5546875" style="1" customWidth="1"/>
    <col min="9" max="9" width="11.33203125" style="1" customWidth="1"/>
    <col min="10" max="10" width="1.5546875" style="36" customWidth="1"/>
    <col min="11" max="11" width="9.77734375" style="36" customWidth="1"/>
    <col min="12" max="12" width="2.109375" style="36" customWidth="1"/>
    <col min="13" max="13" width="10.77734375" style="36" bestFit="1" customWidth="1"/>
    <col min="14" max="14" width="13.109375" style="36" customWidth="1"/>
    <col min="15" max="15" width="2" style="1" customWidth="1"/>
    <col min="16" max="16" width="12.6640625" style="1" customWidth="1"/>
    <col min="17" max="17" width="2.6640625" style="1" customWidth="1"/>
    <col min="18" max="18" width="12.109375" style="1" customWidth="1"/>
    <col min="19" max="19" width="2.6640625" style="1" customWidth="1"/>
    <col min="20" max="20" width="10.44140625" style="1" customWidth="1"/>
    <col min="21" max="21" width="9.6640625" style="1"/>
    <col min="22" max="22" width="11.6640625" style="1" customWidth="1"/>
    <col min="23" max="23" width="1.5546875" style="1" customWidth="1"/>
    <col min="24" max="27" width="9.6640625" style="1"/>
    <col min="28" max="28" width="11.21875" style="1" bestFit="1" customWidth="1"/>
    <col min="29" max="16384" width="9.6640625" style="1"/>
  </cols>
  <sheetData>
    <row r="1" spans="1:14">
      <c r="A1" s="1034" t="s">
        <v>802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pans="1:14">
      <c r="A2" s="2"/>
      <c r="B2" s="2"/>
      <c r="C2" s="2"/>
      <c r="D2" s="2"/>
      <c r="E2" s="2"/>
      <c r="F2" s="2"/>
      <c r="G2" s="230"/>
      <c r="H2" s="2"/>
      <c r="I2" s="2"/>
      <c r="J2" s="253"/>
      <c r="K2" s="254"/>
    </row>
    <row r="3" spans="1:14">
      <c r="A3" s="1032" t="s">
        <v>170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</row>
    <row r="4" spans="1:14" ht="8.4499999999999993" customHeight="1">
      <c r="A4" s="322"/>
      <c r="B4" s="322"/>
      <c r="C4" s="322"/>
      <c r="D4" s="322"/>
      <c r="E4" s="322"/>
      <c r="F4" s="322"/>
      <c r="G4" s="348"/>
      <c r="H4" s="322"/>
      <c r="I4" s="322"/>
      <c r="J4" s="255"/>
    </row>
    <row r="5" spans="1:14">
      <c r="A5" s="322"/>
      <c r="B5" s="322"/>
      <c r="C5" s="322"/>
      <c r="D5" s="322"/>
      <c r="E5" s="322"/>
      <c r="F5" s="322"/>
      <c r="G5" s="348"/>
      <c r="H5" s="322"/>
      <c r="I5" s="322"/>
      <c r="J5" s="255"/>
    </row>
    <row r="6" spans="1:14">
      <c r="A6" s="322" t="s">
        <v>634</v>
      </c>
      <c r="B6" s="322"/>
      <c r="C6" s="322"/>
      <c r="D6" s="322"/>
      <c r="E6" s="322"/>
      <c r="F6" s="322"/>
      <c r="G6" s="348"/>
      <c r="H6" s="322"/>
      <c r="I6" s="322"/>
      <c r="J6" s="255"/>
    </row>
    <row r="7" spans="1:14" ht="8.4499999999999993" customHeight="1">
      <c r="A7" s="322"/>
      <c r="B7" s="322"/>
      <c r="C7" s="322"/>
      <c r="D7" s="322"/>
      <c r="E7" s="322"/>
      <c r="F7" s="322"/>
      <c r="G7" s="348"/>
      <c r="H7" s="322"/>
      <c r="I7" s="322"/>
      <c r="J7" s="255"/>
    </row>
    <row r="8" spans="1:14">
      <c r="A8" s="322" t="s">
        <v>307</v>
      </c>
      <c r="B8" s="322"/>
      <c r="C8" s="322"/>
      <c r="D8" s="322"/>
      <c r="E8" s="322"/>
      <c r="F8" s="322"/>
      <c r="G8" s="348"/>
      <c r="H8" s="322"/>
      <c r="I8" s="322"/>
      <c r="J8" s="255"/>
    </row>
    <row r="9" spans="1:14" ht="9" customHeight="1">
      <c r="A9" s="322"/>
      <c r="B9" s="322"/>
      <c r="C9" s="322"/>
      <c r="D9" s="322"/>
      <c r="E9" s="322"/>
      <c r="F9" s="322"/>
      <c r="G9" s="348"/>
      <c r="H9" s="322"/>
      <c r="I9" s="322"/>
      <c r="J9" s="255"/>
    </row>
    <row r="10" spans="1:14">
      <c r="A10" s="322"/>
      <c r="B10" s="322"/>
      <c r="C10" s="325" t="s">
        <v>182</v>
      </c>
      <c r="D10" s="322"/>
      <c r="E10" s="322"/>
      <c r="F10" s="322"/>
      <c r="G10" s="348"/>
      <c r="H10" s="322"/>
      <c r="I10" s="322"/>
      <c r="J10" s="255"/>
    </row>
    <row r="11" spans="1:14">
      <c r="A11" s="322"/>
      <c r="B11" s="322"/>
      <c r="C11" s="325" t="s">
        <v>199</v>
      </c>
      <c r="D11" s="322"/>
      <c r="E11" s="322"/>
      <c r="F11" s="322"/>
      <c r="G11" s="349"/>
      <c r="H11" s="322"/>
      <c r="I11" s="322"/>
      <c r="J11" s="255"/>
    </row>
    <row r="12" spans="1:14">
      <c r="A12" s="322"/>
      <c r="B12" s="322"/>
      <c r="C12" s="325" t="s">
        <v>196</v>
      </c>
      <c r="D12" s="322"/>
      <c r="E12" s="329" t="s">
        <v>426</v>
      </c>
      <c r="F12" s="328"/>
      <c r="G12" s="349" t="s">
        <v>388</v>
      </c>
      <c r="H12" s="329"/>
      <c r="I12" s="329"/>
      <c r="J12" s="234"/>
      <c r="K12" s="207"/>
    </row>
    <row r="13" spans="1:14">
      <c r="A13" s="321" t="s">
        <v>171</v>
      </c>
      <c r="B13" s="322"/>
      <c r="C13" s="325" t="s">
        <v>183</v>
      </c>
      <c r="D13" s="322"/>
      <c r="E13" s="329" t="s">
        <v>389</v>
      </c>
      <c r="F13" s="333"/>
      <c r="G13" s="350" t="s">
        <v>389</v>
      </c>
      <c r="H13" s="333"/>
      <c r="I13" s="329" t="s">
        <v>180</v>
      </c>
      <c r="J13" s="255"/>
      <c r="K13" s="329" t="s">
        <v>180</v>
      </c>
    </row>
    <row r="14" spans="1:14">
      <c r="A14" s="364" t="s">
        <v>172</v>
      </c>
      <c r="B14" s="322"/>
      <c r="C14" s="470" t="s">
        <v>184</v>
      </c>
      <c r="D14" s="322"/>
      <c r="E14" s="470" t="s">
        <v>184</v>
      </c>
      <c r="F14" s="322"/>
      <c r="G14" s="470" t="s">
        <v>184</v>
      </c>
      <c r="H14" s="322"/>
      <c r="I14" s="470" t="s">
        <v>278</v>
      </c>
      <c r="J14" s="255"/>
      <c r="K14" s="470" t="s">
        <v>306</v>
      </c>
      <c r="N14" s="316" t="s">
        <v>426</v>
      </c>
    </row>
    <row r="15" spans="1:14">
      <c r="A15" s="328" t="s">
        <v>173</v>
      </c>
      <c r="B15" s="322"/>
      <c r="C15" s="329" t="s">
        <v>181</v>
      </c>
      <c r="D15" s="322"/>
      <c r="E15" s="329" t="s">
        <v>194</v>
      </c>
      <c r="F15" s="322"/>
      <c r="G15" s="350" t="s">
        <v>355</v>
      </c>
      <c r="H15" s="322"/>
      <c r="I15" s="329" t="s">
        <v>201</v>
      </c>
      <c r="J15" s="255"/>
      <c r="K15" s="329" t="s">
        <v>201</v>
      </c>
      <c r="N15" s="9"/>
    </row>
    <row r="16" spans="1:14" ht="19.149999999999999" customHeight="1">
      <c r="A16" s="330" t="s">
        <v>252</v>
      </c>
      <c r="B16" s="322"/>
      <c r="C16" s="322"/>
      <c r="D16" s="322"/>
      <c r="E16" s="351"/>
      <c r="F16" s="322"/>
      <c r="G16" s="348"/>
      <c r="H16" s="322"/>
      <c r="I16" s="322"/>
      <c r="J16" s="255"/>
      <c r="K16" s="142"/>
      <c r="N16" s="4"/>
    </row>
    <row r="17" spans="1:14">
      <c r="A17" s="322" t="s">
        <v>318</v>
      </c>
      <c r="B17" s="322"/>
      <c r="C17" s="348">
        <f>'Ft  1to4'!R19</f>
        <v>135717</v>
      </c>
      <c r="D17" s="348"/>
      <c r="E17" s="352">
        <f>+'Ft  1to4'!O87</f>
        <v>696596.30329144862</v>
      </c>
      <c r="F17" s="348"/>
      <c r="G17" s="357">
        <f>+E17-C17</f>
        <v>560879.30329144862</v>
      </c>
      <c r="H17" s="322"/>
      <c r="I17" s="382">
        <f>ROUND(+G17/$G$24,4)</f>
        <v>0.47810000000000002</v>
      </c>
      <c r="J17" s="255"/>
      <c r="K17" s="382">
        <f>ROUND(+G17/$G$21,4)</f>
        <v>0.57330000000000003</v>
      </c>
      <c r="N17" s="133">
        <f>+E17/E$24</f>
        <v>0.36094186335853001</v>
      </c>
    </row>
    <row r="18" spans="1:14">
      <c r="A18" s="322" t="s">
        <v>314</v>
      </c>
      <c r="B18" s="322"/>
      <c r="C18" s="348">
        <f>'Ft  1to4'!R20</f>
        <v>81643</v>
      </c>
      <c r="D18" s="348"/>
      <c r="E18" s="352">
        <f>+'Ft  1to4'!O88</f>
        <v>383815.14974906511</v>
      </c>
      <c r="F18" s="348"/>
      <c r="G18" s="357">
        <f t="shared" ref="G18:G22" si="0">+E18-C18</f>
        <v>302172.14974906511</v>
      </c>
      <c r="H18" s="322"/>
      <c r="I18" s="382">
        <f t="shared" ref="I18:I22" si="1">ROUND(+G18/$G$24,4)</f>
        <v>0.2576</v>
      </c>
      <c r="J18" s="255"/>
      <c r="K18" s="382">
        <f t="shared" ref="K18:K20" si="2">ROUND(+G18/$G$21,4)</f>
        <v>0.30890000000000001</v>
      </c>
      <c r="N18" s="133">
        <f>+E18/E$24</f>
        <v>0.19887408916911697</v>
      </c>
    </row>
    <row r="19" spans="1:14">
      <c r="A19" s="322" t="s">
        <v>315</v>
      </c>
      <c r="B19" s="322"/>
      <c r="C19" s="348">
        <f>'Ft  1to4'!R21</f>
        <v>29803</v>
      </c>
      <c r="D19" s="348"/>
      <c r="E19" s="352">
        <f>+'Ft  1to4'!O89</f>
        <v>103741</v>
      </c>
      <c r="F19" s="348"/>
      <c r="G19" s="357">
        <f t="shared" si="0"/>
        <v>73938</v>
      </c>
      <c r="H19" s="322"/>
      <c r="I19" s="382">
        <f t="shared" si="1"/>
        <v>6.3E-2</v>
      </c>
      <c r="J19" s="255"/>
      <c r="K19" s="382">
        <f t="shared" si="2"/>
        <v>7.5600000000000001E-2</v>
      </c>
      <c r="N19" s="133">
        <f>+E19/E$24</f>
        <v>5.3753471946018767E-2</v>
      </c>
    </row>
    <row r="20" spans="1:14">
      <c r="A20" s="322" t="s">
        <v>316</v>
      </c>
      <c r="B20" s="322"/>
      <c r="C20" s="359">
        <f>'Ft  1to4'!R22</f>
        <v>59288</v>
      </c>
      <c r="D20" s="348"/>
      <c r="E20" s="354">
        <f>+'Ft  1to4'!O90</f>
        <v>100602</v>
      </c>
      <c r="F20" s="353"/>
      <c r="G20" s="359">
        <f t="shared" si="0"/>
        <v>41314</v>
      </c>
      <c r="H20" s="322"/>
      <c r="I20" s="471">
        <f t="shared" si="1"/>
        <v>3.5200000000000002E-2</v>
      </c>
      <c r="J20" s="255"/>
      <c r="K20" s="471">
        <f t="shared" si="2"/>
        <v>4.2200000000000001E-2</v>
      </c>
      <c r="N20" s="133">
        <f>+E20/E$24</f>
        <v>5.2126996893353449E-2</v>
      </c>
    </row>
    <row r="21" spans="1:14">
      <c r="A21" s="322" t="s">
        <v>574</v>
      </c>
      <c r="B21" s="322"/>
      <c r="C21" s="348">
        <f>SUM(C17:C20)</f>
        <v>306451</v>
      </c>
      <c r="D21" s="348"/>
      <c r="E21" s="352">
        <f>SUM(E17:E20)</f>
        <v>1284754.4530405137</v>
      </c>
      <c r="F21" s="353"/>
      <c r="G21" s="357">
        <f>SUM(G17:G20)</f>
        <v>978303.45304051368</v>
      </c>
      <c r="H21" s="322"/>
      <c r="I21" s="382">
        <f>SUM(I17:I20)</f>
        <v>0.83389999999999997</v>
      </c>
      <c r="J21" s="255"/>
      <c r="K21" s="382">
        <f>SUM(K17:K20)</f>
        <v>1</v>
      </c>
      <c r="N21" s="133"/>
    </row>
    <row r="22" spans="1:14" ht="19.899999999999999" customHeight="1">
      <c r="A22" s="322" t="s">
        <v>461</v>
      </c>
      <c r="B22" s="322"/>
      <c r="C22" s="348">
        <f>'Ft  1to4'!R23</f>
        <v>450366</v>
      </c>
      <c r="D22" s="348"/>
      <c r="E22" s="354">
        <f>+'Ft  1to4'!O91</f>
        <v>645186</v>
      </c>
      <c r="F22" s="348"/>
      <c r="G22" s="359">
        <f t="shared" si="0"/>
        <v>194820</v>
      </c>
      <c r="H22" s="322"/>
      <c r="I22" s="471">
        <f t="shared" si="1"/>
        <v>0.1661</v>
      </c>
      <c r="J22" s="255"/>
      <c r="K22" s="172">
        <v>0</v>
      </c>
      <c r="N22" s="133">
        <f>+E22/E$24</f>
        <v>0.33430357863298082</v>
      </c>
    </row>
    <row r="23" spans="1:14" ht="10.15" customHeight="1">
      <c r="A23" s="322"/>
      <c r="B23" s="322"/>
      <c r="C23" s="355"/>
      <c r="D23" s="348"/>
      <c r="E23" s="356"/>
      <c r="F23" s="348"/>
      <c r="G23" s="357"/>
      <c r="H23" s="322"/>
      <c r="I23" s="383"/>
      <c r="J23" s="255"/>
      <c r="K23" s="133"/>
      <c r="N23" s="304"/>
    </row>
    <row r="24" spans="1:14" ht="14.1" customHeight="1" thickBot="1">
      <c r="A24" s="322" t="s">
        <v>176</v>
      </c>
      <c r="B24" s="322"/>
      <c r="C24" s="348">
        <f>+C22+C21</f>
        <v>756817</v>
      </c>
      <c r="D24" s="348"/>
      <c r="E24" s="348">
        <f>+E22+E21</f>
        <v>1929940.4530405137</v>
      </c>
      <c r="F24" s="348"/>
      <c r="G24" s="348">
        <f>+G22+G21</f>
        <v>1173123.4530405137</v>
      </c>
      <c r="H24" s="322"/>
      <c r="I24" s="384">
        <f>+I22+I21</f>
        <v>1</v>
      </c>
      <c r="K24" s="384">
        <f>+K22+K21</f>
        <v>1</v>
      </c>
      <c r="N24" s="12">
        <f>SUM(N17:N22)</f>
        <v>1</v>
      </c>
    </row>
    <row r="25" spans="1:14" ht="15.75" thickTop="1">
      <c r="A25" s="322"/>
      <c r="B25" s="322"/>
      <c r="C25" s="341"/>
      <c r="D25" s="322"/>
      <c r="E25" s="341"/>
      <c r="F25" s="322"/>
      <c r="G25" s="341"/>
      <c r="H25" s="322"/>
      <c r="I25" s="341"/>
      <c r="J25" s="255"/>
      <c r="K25" s="358"/>
    </row>
    <row r="26" spans="1:14">
      <c r="A26" s="333"/>
      <c r="B26" s="322"/>
      <c r="C26" s="322"/>
      <c r="D26" s="322"/>
      <c r="E26" s="322"/>
      <c r="F26" s="322"/>
      <c r="G26" s="348"/>
      <c r="H26" s="322"/>
      <c r="I26" s="322"/>
      <c r="J26" s="255"/>
    </row>
    <row r="27" spans="1:14">
      <c r="A27" s="322" t="s">
        <v>572</v>
      </c>
      <c r="B27" s="322"/>
      <c r="C27" s="322"/>
      <c r="D27" s="322"/>
      <c r="E27" s="322"/>
      <c r="F27" s="322"/>
      <c r="G27" s="348"/>
      <c r="H27" s="322"/>
      <c r="I27" s="322"/>
      <c r="J27" s="255"/>
    </row>
    <row r="28" spans="1:14">
      <c r="A28" s="322" t="s">
        <v>444</v>
      </c>
      <c r="B28" s="322"/>
      <c r="C28" s="322"/>
      <c r="D28" s="322"/>
      <c r="E28" s="322"/>
      <c r="F28" s="322"/>
      <c r="G28" s="348"/>
      <c r="H28" s="322"/>
      <c r="I28" s="322"/>
      <c r="J28" s="255"/>
    </row>
    <row r="29" spans="1:14" ht="7.9" customHeight="1">
      <c r="A29" s="323"/>
      <c r="B29" s="322"/>
      <c r="C29" s="322"/>
      <c r="D29" s="322"/>
      <c r="E29" s="322"/>
      <c r="F29" s="322"/>
      <c r="G29" s="348"/>
      <c r="H29" s="322"/>
      <c r="I29" s="322"/>
      <c r="J29" s="255"/>
    </row>
    <row r="30" spans="1:14">
      <c r="A30" s="322" t="s">
        <v>445</v>
      </c>
      <c r="B30" s="322"/>
      <c r="C30" s="322"/>
      <c r="D30" s="322"/>
      <c r="E30" s="322"/>
      <c r="F30" s="322"/>
      <c r="G30" s="348"/>
      <c r="H30" s="322"/>
      <c r="I30" s="322"/>
      <c r="J30" s="255"/>
    </row>
    <row r="31" spans="1:14">
      <c r="A31" s="322" t="s">
        <v>446</v>
      </c>
      <c r="B31" s="322"/>
      <c r="C31" s="322"/>
      <c r="D31" s="322"/>
      <c r="E31" s="322"/>
      <c r="F31" s="322"/>
      <c r="G31" s="348"/>
      <c r="H31" s="322"/>
      <c r="I31" s="322"/>
      <c r="J31" s="255"/>
    </row>
    <row r="32" spans="1:14" ht="21.6" customHeight="1">
      <c r="A32" s="322"/>
      <c r="B32" s="322"/>
      <c r="D32" s="322"/>
      <c r="E32" s="325" t="s">
        <v>182</v>
      </c>
      <c r="F32" s="322"/>
      <c r="G32" s="348"/>
      <c r="H32" s="322"/>
      <c r="I32" s="322"/>
      <c r="J32" s="255"/>
    </row>
    <row r="33" spans="1:11">
      <c r="A33" s="322"/>
      <c r="B33" s="322"/>
      <c r="D33" s="322"/>
      <c r="E33" s="325" t="s">
        <v>199</v>
      </c>
      <c r="F33" s="322"/>
      <c r="G33" s="349"/>
      <c r="H33" s="322"/>
      <c r="I33" s="322"/>
      <c r="J33" s="255"/>
    </row>
    <row r="34" spans="1:11">
      <c r="A34" s="322"/>
      <c r="B34" s="322"/>
      <c r="D34" s="322"/>
      <c r="E34" s="325" t="s">
        <v>196</v>
      </c>
      <c r="G34" s="329" t="s">
        <v>426</v>
      </c>
      <c r="H34" s="328"/>
      <c r="I34" s="349" t="s">
        <v>388</v>
      </c>
      <c r="J34" s="329"/>
      <c r="K34" s="329"/>
    </row>
    <row r="35" spans="1:11">
      <c r="A35" s="321" t="s">
        <v>171</v>
      </c>
      <c r="B35" s="322"/>
      <c r="D35" s="322"/>
      <c r="E35" s="325" t="s">
        <v>183</v>
      </c>
      <c r="G35" s="329" t="s">
        <v>389</v>
      </c>
      <c r="H35" s="333"/>
      <c r="I35" s="350" t="s">
        <v>389</v>
      </c>
      <c r="J35" s="333"/>
      <c r="K35" s="329" t="s">
        <v>180</v>
      </c>
    </row>
    <row r="36" spans="1:11">
      <c r="A36" s="364" t="s">
        <v>172</v>
      </c>
      <c r="B36" s="322"/>
      <c r="D36" s="322"/>
      <c r="E36" s="470" t="s">
        <v>184</v>
      </c>
      <c r="G36" s="470" t="s">
        <v>184</v>
      </c>
      <c r="H36" s="322"/>
      <c r="I36" s="470" t="s">
        <v>184</v>
      </c>
      <c r="J36" s="322"/>
      <c r="K36" s="470" t="s">
        <v>573</v>
      </c>
    </row>
    <row r="37" spans="1:11">
      <c r="A37" s="328" t="s">
        <v>173</v>
      </c>
      <c r="B37" s="322"/>
      <c r="D37" s="322"/>
      <c r="E37" s="329" t="s">
        <v>181</v>
      </c>
      <c r="G37" s="329" t="s">
        <v>194</v>
      </c>
      <c r="H37" s="322"/>
      <c r="I37" s="350" t="s">
        <v>355</v>
      </c>
      <c r="J37" s="322"/>
      <c r="K37" s="329" t="s">
        <v>201</v>
      </c>
    </row>
    <row r="38" spans="1:11" ht="21" customHeight="1">
      <c r="A38" s="330" t="s">
        <v>252</v>
      </c>
      <c r="B38" s="322"/>
      <c r="D38" s="322"/>
      <c r="E38" s="322"/>
      <c r="G38" s="351"/>
      <c r="H38" s="322"/>
      <c r="I38" s="348"/>
      <c r="J38" s="322"/>
      <c r="K38" s="322"/>
    </row>
    <row r="39" spans="1:11">
      <c r="A39" s="322" t="s">
        <v>318</v>
      </c>
      <c r="B39" s="322"/>
      <c r="D39" s="348"/>
      <c r="E39" s="348">
        <f>+C17</f>
        <v>135717</v>
      </c>
      <c r="G39" s="348">
        <f>+E17</f>
        <v>696596.30329144862</v>
      </c>
      <c r="H39" s="322"/>
      <c r="I39" s="357">
        <f>+G39-E39</f>
        <v>560879.30329144862</v>
      </c>
      <c r="J39" s="322"/>
      <c r="K39" s="382">
        <f>ROUND(+I39/$I$44,4)</f>
        <v>0.57330000000000003</v>
      </c>
    </row>
    <row r="40" spans="1:11">
      <c r="A40" s="322" t="s">
        <v>314</v>
      </c>
      <c r="B40" s="322"/>
      <c r="D40" s="348"/>
      <c r="E40" s="348">
        <f>+C18</f>
        <v>81643</v>
      </c>
      <c r="G40" s="348">
        <f>+E18</f>
        <v>383815.14974906511</v>
      </c>
      <c r="H40" s="322"/>
      <c r="I40" s="357">
        <f>+G40-E40</f>
        <v>302172.14974906511</v>
      </c>
      <c r="J40" s="322"/>
      <c r="K40" s="382">
        <f t="shared" ref="K40:K42" si="3">ROUND(+I40/$I$44,4)</f>
        <v>0.30890000000000001</v>
      </c>
    </row>
    <row r="41" spans="1:11">
      <c r="A41" s="322" t="s">
        <v>315</v>
      </c>
      <c r="B41" s="322"/>
      <c r="D41" s="348"/>
      <c r="E41" s="348">
        <f>+C19</f>
        <v>29803</v>
      </c>
      <c r="G41" s="348">
        <f>+E19</f>
        <v>103741</v>
      </c>
      <c r="H41" s="322"/>
      <c r="I41" s="357">
        <f>+G41-E41</f>
        <v>73938</v>
      </c>
      <c r="J41" s="322"/>
      <c r="K41" s="382">
        <f t="shared" si="3"/>
        <v>7.5600000000000001E-2</v>
      </c>
    </row>
    <row r="42" spans="1:11">
      <c r="A42" s="322" t="s">
        <v>316</v>
      </c>
      <c r="B42" s="322"/>
      <c r="D42" s="348"/>
      <c r="E42" s="453">
        <f>ROUND(+C20,0)</f>
        <v>59288</v>
      </c>
      <c r="G42" s="359">
        <f>+E20</f>
        <v>100602</v>
      </c>
      <c r="H42" s="351"/>
      <c r="I42" s="359">
        <f>+G42-E42</f>
        <v>41314</v>
      </c>
      <c r="J42" s="322"/>
      <c r="K42" s="382">
        <f t="shared" si="3"/>
        <v>4.2200000000000001E-2</v>
      </c>
    </row>
    <row r="43" spans="1:11" ht="12.6" customHeight="1">
      <c r="A43" s="322"/>
      <c r="B43" s="322"/>
      <c r="D43" s="348"/>
      <c r="E43" s="355"/>
      <c r="G43" s="356"/>
      <c r="H43" s="322"/>
      <c r="I43" s="357"/>
      <c r="J43" s="322"/>
      <c r="K43" s="383"/>
    </row>
    <row r="44" spans="1:11" ht="14.1" customHeight="1" thickBot="1">
      <c r="A44" s="322" t="s">
        <v>176</v>
      </c>
      <c r="B44" s="322"/>
      <c r="D44" s="348"/>
      <c r="E44" s="348">
        <f>SUM(E39:E42)</f>
        <v>306451</v>
      </c>
      <c r="G44" s="377">
        <f>SUM(G39:G42)</f>
        <v>1284754.4530405137</v>
      </c>
      <c r="H44" s="322"/>
      <c r="I44" s="348">
        <f>SUM(I39:I42)</f>
        <v>978303.45304051368</v>
      </c>
      <c r="J44" s="322"/>
      <c r="K44" s="384">
        <f>SUM(K39:K42)</f>
        <v>1</v>
      </c>
    </row>
    <row r="45" spans="1:11" ht="15.75" thickTop="1">
      <c r="A45" s="322"/>
      <c r="B45" s="322"/>
      <c r="D45" s="322"/>
      <c r="E45" s="341"/>
      <c r="G45" s="333"/>
      <c r="H45" s="322"/>
      <c r="I45" s="358"/>
      <c r="J45" s="322"/>
      <c r="K45" s="341"/>
    </row>
    <row r="46" spans="1:11">
      <c r="A46" s="1031" t="s">
        <v>802</v>
      </c>
      <c r="B46" s="1031"/>
      <c r="C46" s="1031"/>
      <c r="D46" s="1031"/>
      <c r="E46" s="1031"/>
      <c r="F46" s="1031"/>
      <c r="G46" s="1031"/>
      <c r="H46" s="1031"/>
      <c r="I46" s="1031"/>
      <c r="J46" s="1031"/>
    </row>
    <row r="47" spans="1:11">
      <c r="A47" s="321"/>
      <c r="B47" s="321"/>
      <c r="C47" s="321"/>
      <c r="D47" s="321"/>
      <c r="E47" s="321"/>
      <c r="F47" s="321"/>
      <c r="G47" s="360"/>
      <c r="H47" s="321"/>
      <c r="I47" s="321"/>
      <c r="J47" s="255"/>
    </row>
    <row r="48" spans="1:11">
      <c r="A48" s="1032" t="s">
        <v>170</v>
      </c>
      <c r="B48" s="1032"/>
      <c r="C48" s="1032"/>
      <c r="D48" s="1032"/>
      <c r="E48" s="1032"/>
      <c r="F48" s="1032"/>
      <c r="G48" s="1032"/>
      <c r="H48" s="1032"/>
      <c r="I48" s="1032"/>
      <c r="J48" s="1032"/>
    </row>
    <row r="49" spans="1:29">
      <c r="A49" s="322"/>
      <c r="B49" s="322"/>
      <c r="C49" s="322"/>
      <c r="D49" s="322"/>
      <c r="E49" s="322"/>
      <c r="F49" s="322"/>
      <c r="G49" s="348"/>
      <c r="H49" s="322"/>
      <c r="I49" s="322"/>
    </row>
    <row r="50" spans="1:29" ht="7.9" customHeight="1">
      <c r="A50" s="322"/>
      <c r="B50" s="322"/>
      <c r="C50" s="322"/>
      <c r="D50" s="322"/>
      <c r="E50" s="322"/>
      <c r="F50" s="322"/>
      <c r="G50" s="348"/>
      <c r="H50" s="322"/>
      <c r="I50" s="322"/>
      <c r="J50" s="142"/>
    </row>
    <row r="51" spans="1:29">
      <c r="A51" s="361" t="s">
        <v>810</v>
      </c>
      <c r="B51" s="324"/>
      <c r="C51" s="324"/>
      <c r="D51" s="324"/>
      <c r="E51" s="324"/>
      <c r="F51" s="324"/>
      <c r="G51" s="362"/>
      <c r="H51" s="324"/>
      <c r="I51" s="324"/>
      <c r="J51" s="142"/>
    </row>
    <row r="52" spans="1:29">
      <c r="A52" s="323"/>
      <c r="B52" s="324"/>
      <c r="C52" s="324"/>
      <c r="D52" s="324"/>
      <c r="E52" s="324"/>
      <c r="F52" s="324"/>
      <c r="G52" s="362"/>
      <c r="H52" s="324"/>
      <c r="I52" s="324"/>
    </row>
    <row r="53" spans="1:29" ht="27" customHeight="1">
      <c r="A53" s="1035" t="s">
        <v>809</v>
      </c>
      <c r="B53" s="1036"/>
      <c r="C53" s="1036"/>
      <c r="D53" s="1036"/>
      <c r="E53" s="1036"/>
      <c r="F53" s="1036"/>
      <c r="G53" s="1036"/>
      <c r="H53" s="1036"/>
      <c r="I53" s="1036"/>
      <c r="J53" s="256"/>
    </row>
    <row r="54" spans="1:29">
      <c r="A54" s="322"/>
      <c r="B54" s="322"/>
      <c r="C54" s="322"/>
      <c r="D54" s="322"/>
      <c r="E54" s="512"/>
      <c r="F54" s="322"/>
      <c r="G54" s="348"/>
      <c r="H54" s="322"/>
      <c r="I54" s="518"/>
    </row>
    <row r="55" spans="1:29" ht="6.6" customHeight="1">
      <c r="A55" s="322"/>
      <c r="B55" s="322"/>
      <c r="C55" s="322"/>
      <c r="D55" s="322"/>
      <c r="E55" s="322"/>
      <c r="F55" s="322"/>
      <c r="G55" s="348"/>
      <c r="H55" s="322"/>
      <c r="I55" s="322"/>
    </row>
    <row r="56" spans="1:29">
      <c r="A56" s="321" t="s">
        <v>171</v>
      </c>
      <c r="B56" s="322"/>
      <c r="D56" s="460"/>
      <c r="E56" s="349" t="s">
        <v>811</v>
      </c>
      <c r="F56" s="363"/>
      <c r="H56" s="325"/>
      <c r="I56" s="329" t="s">
        <v>180</v>
      </c>
      <c r="T56" s="349" t="s">
        <v>202</v>
      </c>
    </row>
    <row r="57" spans="1:29">
      <c r="A57" s="364" t="s">
        <v>172</v>
      </c>
      <c r="B57" s="322"/>
      <c r="D57" s="460"/>
      <c r="E57" s="366" t="s">
        <v>812</v>
      </c>
      <c r="F57" s="363"/>
      <c r="H57" s="325"/>
      <c r="I57" s="337" t="s">
        <v>186</v>
      </c>
      <c r="T57" s="366" t="s">
        <v>203</v>
      </c>
      <c r="V57" s="512"/>
      <c r="W57" s="225"/>
      <c r="X57" s="518"/>
    </row>
    <row r="58" spans="1:29">
      <c r="A58" s="338">
        <v>-1</v>
      </c>
      <c r="B58" s="322"/>
      <c r="D58" s="363"/>
      <c r="E58" s="229"/>
      <c r="F58" s="363"/>
      <c r="H58" s="363"/>
      <c r="I58" s="338">
        <f>+T58-1</f>
        <v>-3</v>
      </c>
      <c r="L58" s="451"/>
      <c r="M58" s="449"/>
      <c r="P58" s="530" t="s">
        <v>636</v>
      </c>
      <c r="T58" s="368">
        <f>+A58-1</f>
        <v>-2</v>
      </c>
      <c r="V58" s="449"/>
      <c r="W58" s="225"/>
      <c r="X58" s="451"/>
    </row>
    <row r="59" spans="1:29">
      <c r="A59" s="322"/>
      <c r="B59" s="369"/>
      <c r="D59" s="322"/>
      <c r="E59" s="229"/>
      <c r="F59" s="322"/>
      <c r="H59" s="322"/>
      <c r="I59" s="322"/>
      <c r="L59" s="451"/>
      <c r="M59" s="512"/>
      <c r="P59" s="569" t="s">
        <v>637</v>
      </c>
      <c r="T59" s="229"/>
      <c r="V59" s="449"/>
      <c r="W59" s="225"/>
      <c r="X59" s="451"/>
    </row>
    <row r="60" spans="1:29">
      <c r="A60" s="330" t="s">
        <v>253</v>
      </c>
      <c r="B60" s="369"/>
      <c r="D60" s="322"/>
      <c r="E60" s="229"/>
      <c r="F60" s="322"/>
      <c r="H60" s="322"/>
      <c r="I60" s="332"/>
      <c r="L60" s="451"/>
      <c r="M60" s="537"/>
      <c r="P60" s="531" t="s">
        <v>624</v>
      </c>
      <c r="R60" s="570" t="s">
        <v>548</v>
      </c>
      <c r="T60" s="229"/>
      <c r="V60" s="449"/>
      <c r="W60" s="225"/>
      <c r="X60" s="451"/>
    </row>
    <row r="61" spans="1:29">
      <c r="A61" s="322" t="s">
        <v>318</v>
      </c>
      <c r="B61" s="369"/>
      <c r="D61" s="322"/>
      <c r="E61" s="524">
        <v>61823657.889812022</v>
      </c>
      <c r="F61" s="322"/>
      <c r="H61" s="322"/>
      <c r="I61" s="382">
        <f>ROUND(+E61/$E$68,4)</f>
        <v>0.4385</v>
      </c>
      <c r="L61" s="451"/>
      <c r="M61" s="535"/>
      <c r="N61" s="406">
        <f>+'Ft  1to4'!R87</f>
        <v>592467</v>
      </c>
      <c r="P61" s="571">
        <f>+E61/N61</f>
        <v>104.34953826932474</v>
      </c>
      <c r="R61" s="529">
        <f>+P61/$P$61</f>
        <v>1</v>
      </c>
      <c r="T61" s="348">
        <f>+'Ft 7to9'!E17</f>
        <v>592467</v>
      </c>
      <c r="V61" s="453"/>
      <c r="W61" s="225"/>
      <c r="X61" s="450"/>
      <c r="Z61" s="391">
        <f>+N61</f>
        <v>592467</v>
      </c>
      <c r="AA61" s="429">
        <v>1</v>
      </c>
      <c r="AB61" s="391">
        <f>+Z61*AA61</f>
        <v>592467</v>
      </c>
      <c r="AC61" s="446">
        <f>+AB61/AB$68</f>
        <v>0.52615387060563479</v>
      </c>
    </row>
    <row r="62" spans="1:29">
      <c r="A62" s="322" t="s">
        <v>314</v>
      </c>
      <c r="B62" s="322"/>
      <c r="D62" s="322"/>
      <c r="E62" s="348">
        <v>59403631.462234914</v>
      </c>
      <c r="F62" s="322"/>
      <c r="H62" s="322"/>
      <c r="I62" s="382">
        <f t="shared" ref="I62:I66" si="4">ROUND(+E62/$E$68,4)</f>
        <v>0.4214</v>
      </c>
      <c r="L62" s="451"/>
      <c r="M62" s="535"/>
      <c r="N62" s="406">
        <f>+'Ft  1to4'!R88</f>
        <v>68143.897777777776</v>
      </c>
      <c r="P62" s="510">
        <f>+E62/N62</f>
        <v>871.7380924694753</v>
      </c>
      <c r="R62" s="529">
        <f t="shared" ref="R62:R66" si="5">+P62/$P$61</f>
        <v>8.3540196432832428</v>
      </c>
      <c r="T62" s="348">
        <f>+'Ft 7to9'!E18</f>
        <v>68143.897777777776</v>
      </c>
      <c r="V62" s="453"/>
      <c r="W62" s="225"/>
      <c r="X62" s="450"/>
      <c r="Z62" s="391">
        <f t="shared" ref="Z62:Z66" si="6">+N62</f>
        <v>68143.897777777776</v>
      </c>
      <c r="AA62" s="429">
        <v>7.83</v>
      </c>
      <c r="AB62" s="391">
        <f t="shared" ref="AB62:AB66" si="7">+Z62*AA62</f>
        <v>533566.71959999995</v>
      </c>
      <c r="AC62" s="446">
        <f t="shared" ref="AC62:AC66" si="8">+AB62/AB$68</f>
        <v>0.47384612939436521</v>
      </c>
    </row>
    <row r="63" spans="1:29">
      <c r="A63" s="322" t="s">
        <v>315</v>
      </c>
      <c r="B63" s="369"/>
      <c r="D63" s="322"/>
      <c r="E63" s="348">
        <v>9329163.8410292547</v>
      </c>
      <c r="F63" s="322"/>
      <c r="H63" s="322"/>
      <c r="I63" s="382">
        <f t="shared" si="4"/>
        <v>6.6199999999999995E-2</v>
      </c>
      <c r="L63" s="451"/>
      <c r="M63" s="535"/>
      <c r="N63" s="406">
        <f>+'Ft  1to4'!R89</f>
        <v>1554</v>
      </c>
      <c r="P63" s="510">
        <f>+E63/N63</f>
        <v>6003.3229350252604</v>
      </c>
      <c r="R63" s="529">
        <f t="shared" si="5"/>
        <v>57.530900803133079</v>
      </c>
      <c r="T63" s="348">
        <f>+'Ft 7to9'!E19</f>
        <v>1554</v>
      </c>
      <c r="V63" s="453"/>
      <c r="W63" s="225"/>
      <c r="X63" s="450"/>
      <c r="Z63" s="391">
        <f t="shared" si="6"/>
        <v>1554</v>
      </c>
      <c r="AA63" s="429">
        <f>+N86/P61</f>
        <v>0</v>
      </c>
      <c r="AB63" s="391">
        <f t="shared" si="7"/>
        <v>0</v>
      </c>
      <c r="AC63" s="446">
        <f t="shared" si="8"/>
        <v>0</v>
      </c>
    </row>
    <row r="64" spans="1:29">
      <c r="A64" s="322" t="s">
        <v>316</v>
      </c>
      <c r="B64" s="369"/>
      <c r="D64" s="322"/>
      <c r="E64" s="348">
        <v>5708772.7362296376</v>
      </c>
      <c r="F64" s="322"/>
      <c r="H64" s="322"/>
      <c r="I64" s="382">
        <f t="shared" si="4"/>
        <v>4.0500000000000001E-2</v>
      </c>
      <c r="L64" s="451"/>
      <c r="M64" s="535"/>
      <c r="N64" s="406">
        <f>+'Ft  1to4'!R90</f>
        <v>470</v>
      </c>
      <c r="P64" s="510">
        <f>(+E64+E103)/N64</f>
        <v>24292.649941402713</v>
      </c>
      <c r="R64" s="529">
        <f t="shared" si="5"/>
        <v>232.80074204740336</v>
      </c>
      <c r="T64" s="348">
        <f>+'Ft 7to9'!E20</f>
        <v>470</v>
      </c>
      <c r="V64" s="453"/>
      <c r="W64" s="225"/>
      <c r="X64" s="450"/>
      <c r="Z64" s="391">
        <f t="shared" si="6"/>
        <v>470</v>
      </c>
      <c r="AA64" s="429">
        <f>+AA63</f>
        <v>0</v>
      </c>
      <c r="AB64" s="391">
        <f t="shared" si="7"/>
        <v>0</v>
      </c>
      <c r="AC64" s="446">
        <f t="shared" si="8"/>
        <v>0</v>
      </c>
    </row>
    <row r="65" spans="1:29">
      <c r="A65" s="322" t="s">
        <v>462</v>
      </c>
      <c r="B65" s="369"/>
      <c r="D65" s="322"/>
      <c r="E65" s="348">
        <v>1178953.3305576502</v>
      </c>
      <c r="F65" s="322"/>
      <c r="H65" s="322"/>
      <c r="I65" s="382">
        <f t="shared" si="4"/>
        <v>8.3999999999999995E-3</v>
      </c>
      <c r="L65" s="451"/>
      <c r="M65" s="535"/>
      <c r="N65" s="406">
        <f>+'Ft  1to4'!R91</f>
        <v>54</v>
      </c>
      <c r="P65" s="510">
        <f>(+E65+E104)/N65</f>
        <v>43664.938168801862</v>
      </c>
      <c r="R65" s="529">
        <f t="shared" si="5"/>
        <v>418.44879136985975</v>
      </c>
      <c r="T65" s="348">
        <f>+'Ft 7to9'!E21</f>
        <v>54</v>
      </c>
      <c r="V65" s="453"/>
      <c r="W65" s="225"/>
      <c r="X65" s="450"/>
      <c r="Z65" s="391">
        <f t="shared" si="6"/>
        <v>54</v>
      </c>
      <c r="AA65" s="429">
        <f>+AA63</f>
        <v>0</v>
      </c>
      <c r="AB65" s="391">
        <f t="shared" si="7"/>
        <v>0</v>
      </c>
      <c r="AC65" s="446">
        <f t="shared" si="8"/>
        <v>0</v>
      </c>
    </row>
    <row r="66" spans="1:29">
      <c r="A66" s="322" t="s">
        <v>424</v>
      </c>
      <c r="B66" s="369"/>
      <c r="D66" s="322"/>
      <c r="E66" s="359">
        <v>3530347.3601367641</v>
      </c>
      <c r="F66" s="322"/>
      <c r="H66" s="322"/>
      <c r="I66" s="382">
        <f t="shared" si="4"/>
        <v>2.5000000000000001E-2</v>
      </c>
      <c r="L66" s="451"/>
      <c r="M66" s="535"/>
      <c r="N66" s="406">
        <f>+'Ft  1to4'!R92</f>
        <v>380</v>
      </c>
      <c r="P66" s="510">
        <f>(+E66+E105)/N66</f>
        <v>18580.775579667181</v>
      </c>
      <c r="R66" s="529">
        <f t="shared" si="5"/>
        <v>178.06284424287966</v>
      </c>
      <c r="T66" s="359">
        <f>+'Ft 7to9'!E22</f>
        <v>380</v>
      </c>
      <c r="V66" s="457"/>
      <c r="W66" s="225"/>
      <c r="X66" s="450"/>
      <c r="Z66" s="391">
        <f t="shared" si="6"/>
        <v>380</v>
      </c>
      <c r="AA66" s="429">
        <f>+AA63</f>
        <v>0</v>
      </c>
      <c r="AB66" s="391">
        <f t="shared" si="7"/>
        <v>0</v>
      </c>
      <c r="AC66" s="446">
        <f t="shared" si="8"/>
        <v>0</v>
      </c>
    </row>
    <row r="67" spans="1:29" ht="15.6" customHeight="1">
      <c r="A67" s="322"/>
      <c r="B67" s="369"/>
      <c r="D67" s="333"/>
      <c r="E67" s="229"/>
      <c r="F67" s="36"/>
      <c r="H67" s="333"/>
      <c r="I67" s="383"/>
      <c r="L67" s="451"/>
      <c r="M67" s="225"/>
      <c r="V67" s="225"/>
      <c r="W67" s="225"/>
      <c r="X67" s="527"/>
    </row>
    <row r="68" spans="1:29" ht="15.75" thickBot="1">
      <c r="A68" s="322" t="s">
        <v>176</v>
      </c>
      <c r="B68" s="322"/>
      <c r="D68" s="322"/>
      <c r="E68" s="545">
        <f>SUM(E61:E67)</f>
        <v>140974526.62000024</v>
      </c>
      <c r="F68" s="36">
        <f t="shared" ref="F68" si="9">SUM(F61:F66)</f>
        <v>0</v>
      </c>
      <c r="H68" s="322"/>
      <c r="I68" s="384">
        <f>SUM(I61:I66)</f>
        <v>1</v>
      </c>
      <c r="L68" s="451"/>
      <c r="M68" s="528"/>
      <c r="N68" s="237">
        <f>SUM(N61:N67)</f>
        <v>663068.89777777775</v>
      </c>
      <c r="R68" s="528"/>
      <c r="S68" s="225"/>
      <c r="T68" s="436">
        <f>SUM(T61:T67)</f>
        <v>663068.89777777775</v>
      </c>
      <c r="V68" s="528"/>
      <c r="W68" s="225"/>
      <c r="X68" s="517"/>
      <c r="AB68" s="391">
        <f>SUM(AB61:AB67)</f>
        <v>1126033.7196</v>
      </c>
    </row>
    <row r="69" spans="1:29" ht="15.75" thickTop="1">
      <c r="A69" s="322"/>
      <c r="B69" s="322"/>
      <c r="D69" s="322"/>
      <c r="F69" s="36"/>
      <c r="H69" s="322"/>
      <c r="I69" s="341"/>
      <c r="L69" s="451"/>
      <c r="M69" s="451"/>
      <c r="R69" s="391"/>
      <c r="V69" s="225"/>
      <c r="W69" s="225"/>
      <c r="X69" s="225"/>
    </row>
    <row r="70" spans="1:29">
      <c r="A70" s="322"/>
      <c r="B70" s="322"/>
      <c r="D70" s="322"/>
      <c r="F70" s="36"/>
      <c r="H70" s="322"/>
      <c r="I70" s="333"/>
      <c r="L70" s="451"/>
      <c r="M70" s="451"/>
      <c r="R70" s="391"/>
      <c r="V70" s="225"/>
      <c r="W70" s="225"/>
      <c r="X70" s="225"/>
    </row>
    <row r="71" spans="1:29">
      <c r="A71" s="323" t="s">
        <v>353</v>
      </c>
      <c r="B71" s="324"/>
      <c r="C71" s="324"/>
      <c r="D71" s="324"/>
      <c r="E71" s="324"/>
      <c r="F71" s="324"/>
      <c r="G71" s="362"/>
      <c r="H71" s="324"/>
      <c r="I71" s="324"/>
      <c r="L71" s="451"/>
      <c r="M71" s="451"/>
      <c r="R71" s="391"/>
      <c r="V71" s="225"/>
      <c r="W71" s="225"/>
      <c r="X71" s="225"/>
    </row>
    <row r="72" spans="1:29">
      <c r="A72" s="373"/>
      <c r="B72" s="324"/>
      <c r="C72" s="324"/>
      <c r="D72" s="324"/>
      <c r="E72" s="324"/>
      <c r="F72" s="324"/>
      <c r="G72" s="362"/>
      <c r="H72" s="324"/>
      <c r="I72" s="324"/>
      <c r="L72" s="451"/>
      <c r="M72" s="451"/>
      <c r="R72" s="391"/>
      <c r="V72" s="225"/>
      <c r="W72" s="225"/>
      <c r="X72" s="225"/>
    </row>
    <row r="73" spans="1:29">
      <c r="A73" s="1035" t="s">
        <v>808</v>
      </c>
      <c r="B73" s="1036"/>
      <c r="C73" s="1036"/>
      <c r="D73" s="1036"/>
      <c r="E73" s="1036"/>
      <c r="F73" s="1036"/>
      <c r="G73" s="1036"/>
      <c r="H73" s="1036"/>
      <c r="I73" s="1036"/>
      <c r="L73" s="451"/>
      <c r="M73" s="451"/>
      <c r="R73" s="391"/>
      <c r="V73" s="225"/>
      <c r="W73" s="225"/>
      <c r="X73" s="225"/>
    </row>
    <row r="74" spans="1:29">
      <c r="A74" s="322"/>
      <c r="B74" s="322"/>
      <c r="C74" s="322"/>
      <c r="D74" s="322"/>
      <c r="E74" s="322"/>
      <c r="F74" s="322"/>
      <c r="G74" s="348"/>
      <c r="H74" s="322"/>
      <c r="I74" s="322"/>
      <c r="L74" s="451"/>
      <c r="M74" s="451"/>
      <c r="R74" s="391"/>
      <c r="V74" s="225"/>
      <c r="W74" s="225"/>
      <c r="X74" s="225"/>
    </row>
    <row r="75" spans="1:29">
      <c r="A75" s="321" t="s">
        <v>171</v>
      </c>
      <c r="B75" s="322"/>
      <c r="C75" s="325" t="s">
        <v>202</v>
      </c>
      <c r="D75" s="363"/>
      <c r="E75" s="363"/>
      <c r="F75" s="363"/>
      <c r="G75" s="350" t="s">
        <v>185</v>
      </c>
      <c r="H75" s="325"/>
      <c r="I75" s="329" t="s">
        <v>180</v>
      </c>
      <c r="L75" s="451"/>
      <c r="M75" s="451"/>
      <c r="R75" s="391"/>
      <c r="V75" s="225"/>
      <c r="W75" s="225"/>
      <c r="X75" s="225"/>
    </row>
    <row r="76" spans="1:29">
      <c r="A76" s="364" t="s">
        <v>172</v>
      </c>
      <c r="B76" s="322"/>
      <c r="C76" s="337" t="s">
        <v>626</v>
      </c>
      <c r="D76" s="363"/>
      <c r="E76" s="365" t="s">
        <v>186</v>
      </c>
      <c r="F76" s="363"/>
      <c r="G76" s="366" t="s">
        <v>626</v>
      </c>
      <c r="H76" s="325"/>
      <c r="I76" s="337" t="s">
        <v>186</v>
      </c>
      <c r="L76" s="451"/>
      <c r="M76" s="451"/>
      <c r="R76" s="391"/>
      <c r="V76" s="225"/>
      <c r="W76" s="225"/>
      <c r="X76" s="225"/>
    </row>
    <row r="77" spans="1:29">
      <c r="A77" s="338">
        <v>-1</v>
      </c>
      <c r="B77" s="322"/>
      <c r="C77" s="329" t="s">
        <v>181</v>
      </c>
      <c r="D77" s="363"/>
      <c r="E77" s="367">
        <f>+C77-1</f>
        <v>-3</v>
      </c>
      <c r="F77" s="363"/>
      <c r="G77" s="368">
        <f>+E77-1</f>
        <v>-4</v>
      </c>
      <c r="H77" s="363"/>
      <c r="I77" s="338">
        <f>+G77-1</f>
        <v>-5</v>
      </c>
      <c r="L77" s="451"/>
      <c r="M77" s="451"/>
      <c r="R77" s="391"/>
      <c r="V77" s="225"/>
      <c r="W77" s="225"/>
      <c r="X77" s="225"/>
    </row>
    <row r="78" spans="1:29">
      <c r="A78" s="322"/>
      <c r="B78" s="369"/>
      <c r="C78" s="322"/>
      <c r="D78" s="322"/>
      <c r="E78" s="374"/>
      <c r="F78" s="322"/>
      <c r="G78" s="348"/>
      <c r="H78" s="322"/>
      <c r="I78" s="322"/>
      <c r="L78" s="451"/>
      <c r="M78" s="451"/>
      <c r="R78" s="391"/>
      <c r="V78" s="225"/>
      <c r="W78" s="225"/>
      <c r="X78" s="225"/>
    </row>
    <row r="79" spans="1:29">
      <c r="A79" s="330" t="s">
        <v>198</v>
      </c>
      <c r="B79" s="369"/>
      <c r="C79" s="322"/>
      <c r="D79" s="322"/>
      <c r="E79" s="322"/>
      <c r="F79" s="322"/>
      <c r="G79" s="348"/>
      <c r="H79" s="322"/>
      <c r="I79" s="332"/>
      <c r="L79" s="451"/>
      <c r="M79" s="451"/>
      <c r="R79" s="391"/>
      <c r="V79" s="225"/>
      <c r="W79" s="225"/>
      <c r="X79" s="225"/>
    </row>
    <row r="80" spans="1:29">
      <c r="A80" s="322" t="s">
        <v>318</v>
      </c>
      <c r="B80" s="369"/>
      <c r="C80" s="348">
        <f>+T61-C102</f>
        <v>592467</v>
      </c>
      <c r="D80" s="322"/>
      <c r="E80" s="539">
        <v>1</v>
      </c>
      <c r="F80" s="322"/>
      <c r="G80" s="371">
        <f t="shared" ref="G80:G81" si="10">+C80*E80</f>
        <v>592467</v>
      </c>
      <c r="H80" s="322"/>
      <c r="I80" s="382">
        <f>ROUND(+G80/$G$83,4)</f>
        <v>0.88229999999999997</v>
      </c>
      <c r="L80" s="451"/>
      <c r="M80" s="451"/>
      <c r="R80" s="391"/>
      <c r="V80" s="225"/>
      <c r="W80" s="225"/>
      <c r="X80" s="225"/>
    </row>
    <row r="81" spans="1:24">
      <c r="A81" s="322" t="s">
        <v>314</v>
      </c>
      <c r="B81" s="322"/>
      <c r="C81" s="359">
        <f>+T62</f>
        <v>68143.897777777776</v>
      </c>
      <c r="D81" s="322"/>
      <c r="E81" s="539">
        <f>+T119</f>
        <v>1.1599999999999999</v>
      </c>
      <c r="F81" s="322"/>
      <c r="G81" s="359">
        <f t="shared" si="10"/>
        <v>79046.921422222222</v>
      </c>
      <c r="H81" s="322"/>
      <c r="I81" s="382">
        <f>ROUND(+G81/$G$83,4)</f>
        <v>0.1177</v>
      </c>
      <c r="L81" s="451"/>
      <c r="M81" s="451"/>
      <c r="R81" s="391"/>
      <c r="V81" s="225"/>
      <c r="W81" s="225"/>
      <c r="X81" s="225"/>
    </row>
    <row r="82" spans="1:24">
      <c r="A82" s="322"/>
      <c r="B82" s="369"/>
      <c r="C82" s="348"/>
      <c r="D82" s="36"/>
      <c r="E82" s="36"/>
      <c r="F82" s="36"/>
      <c r="G82" s="371"/>
      <c r="H82" s="322"/>
      <c r="I82" s="383"/>
      <c r="L82" s="451"/>
      <c r="M82" s="451"/>
      <c r="R82" s="391"/>
      <c r="V82" s="225"/>
      <c r="W82" s="225"/>
      <c r="X82" s="225"/>
    </row>
    <row r="83" spans="1:24" ht="15.75" thickBot="1">
      <c r="A83" s="322" t="s">
        <v>176</v>
      </c>
      <c r="B83" s="322"/>
      <c r="C83" s="372">
        <f>SUM(C80:C81)</f>
        <v>660610.89777777775</v>
      </c>
      <c r="D83" s="36"/>
      <c r="E83" s="36"/>
      <c r="F83" s="36"/>
      <c r="G83" s="372">
        <f>SUM(G80:G81)</f>
        <v>671513.92142222216</v>
      </c>
      <c r="H83" s="322"/>
      <c r="I83" s="384">
        <f>SUM(I80:I81)</f>
        <v>1</v>
      </c>
      <c r="L83" s="451"/>
      <c r="M83" s="451"/>
      <c r="R83" s="391"/>
      <c r="V83" s="225"/>
      <c r="W83" s="225"/>
      <c r="X83" s="225"/>
    </row>
    <row r="84" spans="1:24" ht="15.75" thickTop="1">
      <c r="A84" s="322"/>
      <c r="B84" s="322"/>
      <c r="C84" s="375"/>
      <c r="D84" s="36"/>
      <c r="E84" s="36"/>
      <c r="F84" s="36"/>
      <c r="G84" s="375"/>
      <c r="H84" s="322"/>
      <c r="I84" s="341"/>
      <c r="N84" s="237"/>
      <c r="P84" s="510"/>
      <c r="R84" s="229"/>
    </row>
    <row r="85" spans="1:24" ht="14.1" customHeight="1">
      <c r="E85" s="36"/>
      <c r="N85" s="511"/>
      <c r="O85" s="173"/>
      <c r="P85" s="173"/>
      <c r="Q85" s="173"/>
      <c r="R85" s="236"/>
      <c r="S85" s="18"/>
      <c r="T85" s="18"/>
      <c r="U85" s="18"/>
      <c r="V85" s="18"/>
    </row>
    <row r="86" spans="1:24">
      <c r="A86" s="1031" t="s">
        <v>802</v>
      </c>
      <c r="B86" s="1031"/>
      <c r="C86" s="1031"/>
      <c r="D86" s="1031"/>
      <c r="E86" s="1031"/>
      <c r="F86" s="1031"/>
      <c r="G86" s="1031"/>
      <c r="H86" s="1031"/>
      <c r="I86" s="1031"/>
      <c r="J86" s="1031"/>
      <c r="N86" s="448"/>
    </row>
    <row r="87" spans="1:24">
      <c r="A87" s="321"/>
      <c r="B87" s="321"/>
      <c r="C87" s="321"/>
      <c r="D87" s="321"/>
      <c r="E87" s="321"/>
      <c r="F87" s="321"/>
      <c r="G87" s="360"/>
      <c r="H87" s="321"/>
      <c r="I87" s="321"/>
      <c r="J87" s="255"/>
    </row>
    <row r="88" spans="1:24">
      <c r="A88" s="1032" t="s">
        <v>170</v>
      </c>
      <c r="B88" s="1032"/>
      <c r="C88" s="1032"/>
      <c r="D88" s="1032"/>
      <c r="E88" s="1032"/>
      <c r="F88" s="1032"/>
      <c r="G88" s="1032"/>
      <c r="H88" s="1032"/>
      <c r="I88" s="1032"/>
      <c r="J88" s="1032"/>
    </row>
    <row r="89" spans="1:24">
      <c r="A89" s="322"/>
      <c r="B89" s="322"/>
      <c r="C89" s="322"/>
      <c r="D89" s="322"/>
      <c r="E89" s="322"/>
      <c r="F89" s="322"/>
      <c r="G89" s="348"/>
      <c r="H89" s="322"/>
      <c r="I89" s="322"/>
    </row>
    <row r="90" spans="1:24" ht="7.15" customHeight="1">
      <c r="A90" s="322"/>
      <c r="B90" s="322"/>
      <c r="C90" s="322"/>
      <c r="D90" s="322"/>
      <c r="E90" s="322"/>
      <c r="F90" s="322"/>
      <c r="G90" s="348"/>
      <c r="H90" s="322"/>
      <c r="I90" s="322"/>
      <c r="N90" s="178"/>
      <c r="O90" s="173"/>
      <c r="P90" s="173"/>
      <c r="Q90" s="173"/>
      <c r="R90" s="236"/>
      <c r="S90" s="18"/>
      <c r="T90" s="18"/>
      <c r="U90" s="18"/>
      <c r="V90" s="18"/>
    </row>
    <row r="91" spans="1:24" ht="13.9" customHeight="1">
      <c r="A91" s="323" t="s">
        <v>596</v>
      </c>
      <c r="B91" s="324"/>
      <c r="C91" s="324"/>
      <c r="D91" s="324"/>
      <c r="E91" s="324"/>
      <c r="F91" s="324"/>
      <c r="G91" s="362"/>
      <c r="H91" s="324"/>
      <c r="I91" s="324"/>
      <c r="N91" s="178"/>
      <c r="O91" s="173"/>
      <c r="P91" s="173"/>
      <c r="Q91" s="173"/>
      <c r="R91" s="236"/>
      <c r="S91" s="18"/>
      <c r="T91" s="18"/>
      <c r="U91" s="18"/>
      <c r="V91" s="18"/>
    </row>
    <row r="92" spans="1:24" ht="13.15" customHeight="1">
      <c r="A92" s="323" t="s">
        <v>807</v>
      </c>
      <c r="B92" s="324"/>
      <c r="C92" s="324"/>
      <c r="D92" s="324"/>
      <c r="E92" s="324"/>
      <c r="F92" s="324"/>
      <c r="G92" s="362"/>
      <c r="H92" s="324"/>
      <c r="I92" s="324"/>
      <c r="N92" s="178"/>
      <c r="O92" s="173"/>
      <c r="P92" s="173"/>
      <c r="Q92" s="173"/>
      <c r="R92" s="236"/>
      <c r="S92" s="18"/>
      <c r="T92" s="18"/>
      <c r="U92" s="18"/>
      <c r="V92" s="18"/>
    </row>
    <row r="93" spans="1:24">
      <c r="A93" s="351"/>
      <c r="B93" s="322"/>
      <c r="C93" s="322"/>
      <c r="D93" s="322"/>
      <c r="E93" s="322"/>
      <c r="F93" s="322"/>
      <c r="G93" s="348"/>
      <c r="H93" s="322"/>
      <c r="I93" s="322"/>
      <c r="N93" s="178"/>
      <c r="O93" s="173"/>
      <c r="P93" s="173"/>
      <c r="Q93" s="173"/>
      <c r="R93" s="236"/>
      <c r="S93" s="18"/>
      <c r="T93" s="18"/>
      <c r="U93" s="18"/>
      <c r="V93" s="18"/>
    </row>
    <row r="94" spans="1:24" ht="29.45" customHeight="1">
      <c r="A94" s="1037" t="s">
        <v>826</v>
      </c>
      <c r="B94" s="1038"/>
      <c r="C94" s="1038"/>
      <c r="D94" s="1038"/>
      <c r="E94" s="1038"/>
      <c r="F94" s="1038"/>
      <c r="G94" s="1038"/>
      <c r="H94" s="1038"/>
      <c r="I94" s="1038"/>
      <c r="N94" s="178"/>
      <c r="O94" s="173"/>
      <c r="P94" s="173"/>
      <c r="Q94" s="173"/>
      <c r="R94" s="236"/>
      <c r="S94" s="18"/>
      <c r="T94" s="18"/>
      <c r="U94" s="18"/>
      <c r="V94" s="18"/>
    </row>
    <row r="95" spans="1:24">
      <c r="A95" s="322"/>
      <c r="B95" s="322"/>
      <c r="C95" s="322"/>
      <c r="D95" s="322"/>
      <c r="E95" s="322"/>
      <c r="F95" s="322"/>
      <c r="G95" s="348"/>
      <c r="H95" s="322"/>
      <c r="I95" s="322"/>
      <c r="N95" s="178"/>
      <c r="O95" s="173"/>
      <c r="P95" s="173"/>
      <c r="Q95" s="173"/>
      <c r="R95" s="236"/>
      <c r="S95" s="18"/>
      <c r="T95" s="18"/>
      <c r="U95" s="18"/>
      <c r="V95" s="18"/>
    </row>
    <row r="96" spans="1:24">
      <c r="A96" s="322"/>
      <c r="B96" s="322"/>
      <c r="C96" s="348"/>
      <c r="D96" s="322"/>
      <c r="E96" s="322"/>
      <c r="F96" s="322"/>
      <c r="G96" s="348"/>
      <c r="H96" s="322"/>
      <c r="I96" s="322"/>
      <c r="N96" s="178"/>
      <c r="O96" s="173"/>
      <c r="P96" s="173"/>
      <c r="Q96" s="173"/>
      <c r="R96" s="236"/>
      <c r="S96" s="18"/>
      <c r="T96" s="18"/>
      <c r="U96" s="18"/>
      <c r="V96" s="18"/>
    </row>
    <row r="97" spans="1:22">
      <c r="A97" s="321" t="s">
        <v>171</v>
      </c>
      <c r="B97" s="322"/>
      <c r="D97" s="460"/>
      <c r="E97" s="350" t="s">
        <v>825</v>
      </c>
      <c r="F97" s="363"/>
      <c r="G97" s="1"/>
      <c r="H97" s="325"/>
      <c r="I97" s="329" t="s">
        <v>180</v>
      </c>
      <c r="N97" s="178"/>
      <c r="O97" s="173"/>
      <c r="P97" s="173"/>
      <c r="Q97" s="173"/>
      <c r="R97" s="236"/>
      <c r="S97" s="18"/>
      <c r="T97" s="18"/>
      <c r="U97" s="18"/>
      <c r="V97" s="18"/>
    </row>
    <row r="98" spans="1:22">
      <c r="A98" s="364" t="s">
        <v>172</v>
      </c>
      <c r="B98" s="322"/>
      <c r="D98" s="460"/>
      <c r="E98" s="366" t="s">
        <v>581</v>
      </c>
      <c r="F98" s="363"/>
      <c r="G98" s="1"/>
      <c r="H98" s="325"/>
      <c r="I98" s="337" t="s">
        <v>186</v>
      </c>
      <c r="N98" s="173"/>
      <c r="O98" s="18"/>
      <c r="P98" s="18"/>
      <c r="Q98" s="18"/>
      <c r="R98" s="18"/>
      <c r="S98" s="18"/>
      <c r="T98" s="18"/>
      <c r="U98" s="18"/>
      <c r="V98" s="18"/>
    </row>
    <row r="99" spans="1:22">
      <c r="A99" s="338">
        <v>-1</v>
      </c>
      <c r="B99" s="322"/>
      <c r="D99" s="363"/>
      <c r="E99" s="368">
        <f>+A99-1</f>
        <v>-2</v>
      </c>
      <c r="F99" s="363"/>
      <c r="G99" s="1"/>
      <c r="H99" s="363"/>
      <c r="I99" s="338">
        <f>+E99-1</f>
        <v>-3</v>
      </c>
      <c r="N99" s="173"/>
      <c r="O99" s="18"/>
      <c r="P99" s="18"/>
      <c r="Q99" s="18"/>
      <c r="R99" s="18"/>
      <c r="S99" s="18"/>
      <c r="T99" s="18"/>
      <c r="U99" s="18"/>
      <c r="V99" s="18"/>
    </row>
    <row r="100" spans="1:22">
      <c r="A100" s="322"/>
      <c r="B100" s="369"/>
      <c r="D100" s="322"/>
      <c r="E100" s="348"/>
      <c r="F100" s="322"/>
      <c r="G100" s="1"/>
      <c r="H100" s="322"/>
      <c r="I100" s="322"/>
    </row>
    <row r="101" spans="1:22">
      <c r="A101" s="330" t="s">
        <v>253</v>
      </c>
      <c r="B101" s="369"/>
      <c r="D101" s="322"/>
      <c r="E101" s="348"/>
      <c r="F101" s="322"/>
      <c r="G101" s="1"/>
      <c r="H101" s="322"/>
      <c r="I101" s="382"/>
    </row>
    <row r="102" spans="1:22">
      <c r="A102" s="322" t="s">
        <v>315</v>
      </c>
      <c r="B102" s="369"/>
      <c r="D102" s="322"/>
      <c r="E102" s="370">
        <f>+E63</f>
        <v>9329163.8410292547</v>
      </c>
      <c r="F102" s="322"/>
      <c r="G102" s="1"/>
      <c r="H102" s="322"/>
      <c r="I102" s="450">
        <f>ROUND(+E102/$E$106,4)</f>
        <v>0.47239999999999999</v>
      </c>
      <c r="J102" s="451"/>
      <c r="K102" s="451"/>
      <c r="L102" s="451"/>
      <c r="M102" s="451"/>
      <c r="N102" s="459">
        <f>+N63</f>
        <v>1554</v>
      </c>
      <c r="P102" s="510">
        <f>+E102/N102</f>
        <v>6003.3229350252604</v>
      </c>
    </row>
    <row r="103" spans="1:22">
      <c r="A103" s="322" t="s">
        <v>316</v>
      </c>
      <c r="B103" s="369"/>
      <c r="D103" s="333"/>
      <c r="E103" s="371">
        <f>+E64</f>
        <v>5708772.7362296376</v>
      </c>
      <c r="F103" s="333"/>
      <c r="G103" s="1"/>
      <c r="H103" s="333"/>
      <c r="I103" s="450">
        <f>ROUND(+E103/$E$106,4)</f>
        <v>0.28910000000000002</v>
      </c>
      <c r="J103" s="451"/>
      <c r="K103" s="451"/>
      <c r="L103" s="451"/>
      <c r="M103" s="451"/>
      <c r="N103" s="459">
        <f>+N64</f>
        <v>470</v>
      </c>
      <c r="P103" s="510">
        <f>+E103/N103</f>
        <v>12146.324970701357</v>
      </c>
      <c r="R103" s="391"/>
    </row>
    <row r="104" spans="1:22">
      <c r="A104" s="322" t="s">
        <v>565</v>
      </c>
      <c r="B104" s="369"/>
      <c r="D104" s="333"/>
      <c r="E104" s="371">
        <f t="shared" ref="E104:E105" si="11">+E65</f>
        <v>1178953.3305576502</v>
      </c>
      <c r="F104" s="546"/>
      <c r="G104" s="225"/>
      <c r="H104" s="333"/>
      <c r="I104" s="450">
        <f>ROUND(+E104/$E$106,4)</f>
        <v>5.9700000000000003E-2</v>
      </c>
      <c r="J104" s="451"/>
      <c r="K104" s="451"/>
      <c r="L104" s="451"/>
      <c r="M104" s="451"/>
      <c r="N104" s="459">
        <f t="shared" ref="N104:N105" si="12">+N65</f>
        <v>54</v>
      </c>
      <c r="P104" s="510">
        <f t="shared" ref="P104:P105" si="13">+E104/N104</f>
        <v>21832.469084400931</v>
      </c>
      <c r="R104" s="391"/>
    </row>
    <row r="105" spans="1:22">
      <c r="A105" s="322" t="s">
        <v>424</v>
      </c>
      <c r="B105" s="369"/>
      <c r="D105" s="333"/>
      <c r="E105" s="371">
        <f t="shared" si="11"/>
        <v>3530347.3601367641</v>
      </c>
      <c r="F105" s="333"/>
      <c r="G105" s="1"/>
      <c r="H105" s="333"/>
      <c r="I105" s="450">
        <f>ROUND(+E105/$E$106,4)</f>
        <v>0.17879999999999999</v>
      </c>
      <c r="J105" s="451"/>
      <c r="K105" s="451"/>
      <c r="L105" s="451"/>
      <c r="M105" s="451"/>
      <c r="N105" s="459">
        <f t="shared" si="12"/>
        <v>380</v>
      </c>
      <c r="P105" s="510">
        <f t="shared" si="13"/>
        <v>9290.3877898335904</v>
      </c>
      <c r="R105" s="510"/>
    </row>
    <row r="106" spans="1:22" ht="22.9" customHeight="1" thickBot="1">
      <c r="A106" s="322" t="s">
        <v>176</v>
      </c>
      <c r="B106" s="322"/>
      <c r="D106" s="322"/>
      <c r="E106" s="461">
        <f>SUM(E102:E105)</f>
        <v>19747237.267953306</v>
      </c>
      <c r="F106" s="322"/>
      <c r="G106" s="1"/>
      <c r="H106" s="322"/>
      <c r="I106" s="452">
        <f>SUM(I102:I105)</f>
        <v>1</v>
      </c>
      <c r="J106" s="451"/>
      <c r="K106" s="451"/>
      <c r="L106" s="451"/>
      <c r="M106" s="451"/>
      <c r="N106" s="459"/>
      <c r="R106" s="382"/>
    </row>
    <row r="107" spans="1:22" ht="15.75" thickTop="1">
      <c r="A107" s="322"/>
      <c r="B107" s="322"/>
      <c r="D107" s="322"/>
      <c r="E107" s="348"/>
      <c r="F107" s="322"/>
      <c r="G107" s="1"/>
      <c r="H107" s="322"/>
      <c r="I107" s="36"/>
      <c r="R107" s="382"/>
    </row>
    <row r="108" spans="1:22">
      <c r="A108" s="322"/>
      <c r="B108" s="322"/>
      <c r="C108" s="322"/>
      <c r="D108" s="322"/>
      <c r="E108" s="322"/>
      <c r="F108" s="322"/>
      <c r="G108" s="348"/>
      <c r="H108" s="322"/>
      <c r="I108" s="36"/>
      <c r="R108" s="382"/>
    </row>
    <row r="109" spans="1:22">
      <c r="A109" s="361" t="s">
        <v>397</v>
      </c>
      <c r="B109" s="324"/>
      <c r="C109" s="324"/>
      <c r="D109" s="324"/>
      <c r="E109" s="324"/>
      <c r="F109" s="324"/>
      <c r="G109" s="362"/>
      <c r="H109" s="324"/>
      <c r="I109" s="324"/>
      <c r="R109" s="382"/>
    </row>
    <row r="110" spans="1:22">
      <c r="A110" s="323"/>
      <c r="B110" s="324"/>
      <c r="C110" s="324"/>
      <c r="D110" s="324"/>
      <c r="E110" s="324"/>
      <c r="F110" s="324"/>
      <c r="G110" s="362"/>
      <c r="H110" s="324"/>
      <c r="I110" s="324"/>
      <c r="R110" s="382"/>
    </row>
    <row r="111" spans="1:22" ht="28.15" customHeight="1">
      <c r="A111" s="1035" t="s">
        <v>582</v>
      </c>
      <c r="B111" s="1036"/>
      <c r="C111" s="1036"/>
      <c r="D111" s="1036"/>
      <c r="E111" s="1036"/>
      <c r="F111" s="1036"/>
      <c r="G111" s="1036"/>
      <c r="H111" s="1036"/>
      <c r="I111" s="1036"/>
      <c r="R111" s="382"/>
    </row>
    <row r="112" spans="1:22" ht="15.75" thickBot="1">
      <c r="A112" s="322"/>
      <c r="B112" s="322"/>
      <c r="C112" s="322"/>
      <c r="D112" s="322"/>
      <c r="E112" s="322"/>
      <c r="F112" s="322"/>
      <c r="G112" s="348"/>
      <c r="H112" s="322"/>
      <c r="I112" s="322"/>
      <c r="R112" s="384"/>
    </row>
    <row r="113" spans="1:20" ht="15.75" thickTop="1">
      <c r="A113" s="321" t="s">
        <v>171</v>
      </c>
      <c r="B113" s="322"/>
      <c r="D113" s="363"/>
      <c r="E113" s="350" t="s">
        <v>215</v>
      </c>
      <c r="F113" s="363"/>
      <c r="H113" s="325"/>
      <c r="I113" s="329" t="s">
        <v>180</v>
      </c>
      <c r="N113" s="325" t="s">
        <v>202</v>
      </c>
    </row>
    <row r="114" spans="1:20">
      <c r="A114" s="364" t="s">
        <v>172</v>
      </c>
      <c r="B114" s="322"/>
      <c r="D114" s="363"/>
      <c r="E114" s="366" t="s">
        <v>827</v>
      </c>
      <c r="F114" s="363"/>
      <c r="H114" s="325"/>
      <c r="I114" s="337" t="s">
        <v>186</v>
      </c>
      <c r="N114" s="337" t="s">
        <v>325</v>
      </c>
    </row>
    <row r="115" spans="1:20">
      <c r="A115" s="338">
        <v>-1</v>
      </c>
      <c r="B115" s="322"/>
      <c r="D115" s="363"/>
      <c r="E115" s="329" t="s">
        <v>181</v>
      </c>
      <c r="F115" s="363"/>
      <c r="H115" s="363"/>
      <c r="I115" s="338">
        <f>+E115-1</f>
        <v>-3</v>
      </c>
      <c r="N115" s="329" t="s">
        <v>181</v>
      </c>
    </row>
    <row r="116" spans="1:20" ht="11.25" customHeight="1">
      <c r="A116" s="322"/>
      <c r="B116" s="369"/>
      <c r="D116" s="322"/>
      <c r="E116" s="348"/>
      <c r="F116" s="322"/>
      <c r="H116" s="322"/>
      <c r="I116" s="322"/>
      <c r="N116" s="322"/>
    </row>
    <row r="117" spans="1:20">
      <c r="A117" s="330" t="s">
        <v>253</v>
      </c>
      <c r="B117" s="369"/>
      <c r="D117" s="322"/>
      <c r="E117" s="348"/>
      <c r="F117" s="322"/>
      <c r="H117" s="322"/>
      <c r="I117" s="332"/>
      <c r="N117" s="322"/>
    </row>
    <row r="118" spans="1:20">
      <c r="A118" s="322" t="s">
        <v>318</v>
      </c>
      <c r="B118" s="369"/>
      <c r="D118" s="322"/>
      <c r="E118" s="454">
        <v>883197209.13599455</v>
      </c>
      <c r="F118" s="379"/>
      <c r="G118" s="449"/>
      <c r="H118" s="379"/>
      <c r="I118" s="450">
        <f>ROUND(+E118/$E$124,4)-0.0001</f>
        <v>0.87160000000000004</v>
      </c>
      <c r="J118" s="451"/>
      <c r="K118" s="451"/>
      <c r="L118" s="451"/>
      <c r="M118" s="451"/>
      <c r="N118" s="348">
        <f>+'Ft  1to4'!R87</f>
        <v>592467</v>
      </c>
      <c r="R118" s="510">
        <f>+E118/N118</f>
        <v>1490.7112280278809</v>
      </c>
    </row>
    <row r="119" spans="1:20">
      <c r="A119" s="322" t="s">
        <v>314</v>
      </c>
      <c r="B119" s="322"/>
      <c r="D119" s="322"/>
      <c r="E119" s="455">
        <v>117923413.98365292</v>
      </c>
      <c r="F119" s="379"/>
      <c r="G119" s="449"/>
      <c r="H119" s="379"/>
      <c r="I119" s="450">
        <f t="shared" ref="I119:I123" si="14">ROUND(+E119/$E$124,4)</f>
        <v>0.1164</v>
      </c>
      <c r="J119" s="451"/>
      <c r="K119" s="451"/>
      <c r="L119" s="451"/>
      <c r="M119" s="451"/>
      <c r="N119" s="348">
        <f>+'Ft  1to4'!R88</f>
        <v>68143.897777777776</v>
      </c>
      <c r="P119" s="455"/>
      <c r="R119" s="510">
        <f t="shared" ref="R119:R123" si="15">+E119/N119</f>
        <v>1730.5058534838993</v>
      </c>
      <c r="T119" s="510">
        <f>ROUND(+R119/R118,2)</f>
        <v>1.1599999999999999</v>
      </c>
    </row>
    <row r="120" spans="1:20">
      <c r="A120" s="322" t="s">
        <v>315</v>
      </c>
      <c r="B120" s="369"/>
      <c r="D120" s="322"/>
      <c r="E120" s="455">
        <v>4925347.462353576</v>
      </c>
      <c r="F120" s="379"/>
      <c r="G120" s="449"/>
      <c r="H120" s="379"/>
      <c r="I120" s="450">
        <f t="shared" si="14"/>
        <v>4.8999999999999998E-3</v>
      </c>
      <c r="J120" s="451"/>
      <c r="K120" s="451"/>
      <c r="L120" s="451"/>
      <c r="M120" s="451"/>
      <c r="N120" s="348">
        <f>+'Ft  1to4'!R89</f>
        <v>1554</v>
      </c>
      <c r="P120" s="455"/>
      <c r="R120" s="510">
        <f t="shared" si="15"/>
        <v>3169.4642614887875</v>
      </c>
      <c r="T120" s="510">
        <f>ROUND(+R120/R118,2)</f>
        <v>2.13</v>
      </c>
    </row>
    <row r="121" spans="1:20">
      <c r="A121" s="322" t="s">
        <v>316</v>
      </c>
      <c r="B121" s="369"/>
      <c r="D121" s="322"/>
      <c r="E121" s="455">
        <v>5297204.6575940186</v>
      </c>
      <c r="F121" s="379"/>
      <c r="G121" s="449"/>
      <c r="H121" s="379"/>
      <c r="I121" s="450">
        <f t="shared" si="14"/>
        <v>5.1999999999999998E-3</v>
      </c>
      <c r="J121" s="451"/>
      <c r="K121" s="451"/>
      <c r="L121" s="451"/>
      <c r="M121" s="451"/>
      <c r="N121" s="348">
        <f>+'Ft  1to4'!R90</f>
        <v>470</v>
      </c>
      <c r="P121" s="454"/>
      <c r="R121" s="510">
        <f t="shared" si="15"/>
        <v>11270.648207646847</v>
      </c>
    </row>
    <row r="122" spans="1:20">
      <c r="A122" s="322" t="s">
        <v>565</v>
      </c>
      <c r="B122" s="369"/>
      <c r="D122" s="322"/>
      <c r="E122" s="455">
        <v>356795.32146681572</v>
      </c>
      <c r="F122" s="379"/>
      <c r="G122" s="449"/>
      <c r="H122" s="379"/>
      <c r="I122" s="450">
        <f t="shared" si="14"/>
        <v>4.0000000000000002E-4</v>
      </c>
      <c r="J122" s="451"/>
      <c r="K122" s="451"/>
      <c r="L122" s="451"/>
      <c r="M122" s="451"/>
      <c r="N122" s="348">
        <f>+'Ft  1to4'!R91</f>
        <v>54</v>
      </c>
      <c r="P122" s="456"/>
      <c r="R122" s="510">
        <f t="shared" si="15"/>
        <v>6607.3207679039951</v>
      </c>
    </row>
    <row r="123" spans="1:20">
      <c r="A123" s="322" t="s">
        <v>424</v>
      </c>
      <c r="B123" s="369"/>
      <c r="D123" s="379"/>
      <c r="E123" s="455">
        <v>1542815.2981911066</v>
      </c>
      <c r="F123" s="379"/>
      <c r="G123" s="449"/>
      <c r="H123" s="379"/>
      <c r="I123" s="450">
        <f t="shared" si="14"/>
        <v>1.5E-3</v>
      </c>
      <c r="J123" s="451"/>
      <c r="K123" s="451"/>
      <c r="L123" s="451"/>
      <c r="M123" s="451"/>
      <c r="N123" s="348">
        <f>+'Ft  1to4'!R92</f>
        <v>380</v>
      </c>
      <c r="P123" s="457"/>
      <c r="R123" s="510">
        <f t="shared" si="15"/>
        <v>4060.0402583976493</v>
      </c>
    </row>
    <row r="124" spans="1:20" ht="22.15" customHeight="1" thickBot="1">
      <c r="A124" s="322" t="s">
        <v>176</v>
      </c>
      <c r="B124" s="322"/>
      <c r="D124" s="322"/>
      <c r="E124" s="458">
        <f>SUM(E118:E123)</f>
        <v>1013242785.8592529</v>
      </c>
      <c r="F124" s="379"/>
      <c r="G124" s="449"/>
      <c r="H124" s="379"/>
      <c r="I124" s="452">
        <f>SUM(I118:I123)</f>
        <v>0.99999999999999989</v>
      </c>
      <c r="J124" s="451"/>
      <c r="K124" s="451"/>
      <c r="L124" s="451"/>
      <c r="M124" s="451"/>
      <c r="N124" s="376">
        <f>SUM(N118:N123)</f>
        <v>663068.89777777775</v>
      </c>
      <c r="O124" s="376">
        <f t="shared" ref="O124" si="16">SUM(O118:O123)</f>
        <v>0</v>
      </c>
      <c r="P124" s="376"/>
    </row>
    <row r="125" spans="1:20" ht="15.75" thickTop="1">
      <c r="A125" s="322"/>
      <c r="B125" s="322"/>
      <c r="C125" s="322"/>
      <c r="D125" s="322"/>
      <c r="E125" s="453"/>
      <c r="F125" s="379"/>
      <c r="G125" s="449"/>
      <c r="H125" s="379"/>
      <c r="I125" s="451"/>
      <c r="J125" s="451"/>
      <c r="K125" s="526">
        <f>+N120+N121+N123</f>
        <v>2404</v>
      </c>
      <c r="L125" s="451"/>
      <c r="M125" s="451"/>
      <c r="N125" s="558"/>
    </row>
    <row r="126" spans="1:20">
      <c r="A126" s="322"/>
      <c r="B126" s="322"/>
      <c r="C126" s="322"/>
      <c r="D126" s="322"/>
      <c r="E126" s="322"/>
      <c r="F126" s="322"/>
      <c r="G126" s="348"/>
      <c r="H126" s="322"/>
      <c r="I126" s="36"/>
      <c r="N126" s="448"/>
      <c r="P126" s="538"/>
      <c r="R126" s="538"/>
    </row>
    <row r="127" spans="1:20">
      <c r="A127" s="322"/>
      <c r="B127" s="322"/>
      <c r="C127" s="322"/>
      <c r="D127" s="322"/>
      <c r="E127" s="322"/>
      <c r="F127" s="322"/>
      <c r="G127" s="348"/>
      <c r="H127" s="322"/>
      <c r="I127" s="322"/>
      <c r="P127" s="391"/>
    </row>
    <row r="128" spans="1:20">
      <c r="A128" s="322"/>
      <c r="B128" s="322"/>
      <c r="C128" s="322"/>
      <c r="D128" s="322"/>
      <c r="E128" s="322"/>
      <c r="F128" s="322"/>
      <c r="G128" s="348"/>
      <c r="H128" s="322"/>
      <c r="I128" s="322"/>
      <c r="P128" s="391"/>
      <c r="R128" s="391"/>
    </row>
    <row r="129" spans="1:18">
      <c r="A129" s="322"/>
      <c r="B129" s="322"/>
      <c r="C129" s="322"/>
      <c r="D129" s="322"/>
      <c r="E129" s="322"/>
      <c r="F129" s="322"/>
      <c r="G129" s="348"/>
      <c r="H129" s="322"/>
      <c r="I129" s="322"/>
      <c r="P129" s="538"/>
      <c r="R129" s="538"/>
    </row>
    <row r="130" spans="1:18">
      <c r="G130" s="1"/>
    </row>
    <row r="131" spans="1:18">
      <c r="G131" s="1"/>
      <c r="P131" s="391"/>
      <c r="Q131" s="391"/>
      <c r="R131" s="391"/>
    </row>
    <row r="132" spans="1:18">
      <c r="G132" s="1"/>
    </row>
    <row r="133" spans="1:18">
      <c r="G133" s="1"/>
    </row>
    <row r="134" spans="1:18">
      <c r="G134" s="1"/>
    </row>
    <row r="135" spans="1:18">
      <c r="G135" s="1"/>
    </row>
    <row r="136" spans="1:18">
      <c r="G136" s="1"/>
    </row>
    <row r="137" spans="1:18">
      <c r="G137" s="1"/>
    </row>
    <row r="138" spans="1:18">
      <c r="G138" s="1"/>
    </row>
    <row r="139" spans="1:18">
      <c r="G139" s="1"/>
    </row>
    <row r="140" spans="1:18">
      <c r="G140" s="1"/>
    </row>
    <row r="141" spans="1:18">
      <c r="G141" s="1"/>
    </row>
    <row r="142" spans="1:18">
      <c r="G142" s="1"/>
    </row>
    <row r="143" spans="1:18">
      <c r="G143" s="1"/>
    </row>
    <row r="144" spans="1:18">
      <c r="D144" s="36"/>
      <c r="E144" s="36"/>
      <c r="F144" s="36"/>
      <c r="I144" s="322"/>
    </row>
  </sheetData>
  <mergeCells count="10">
    <mergeCell ref="A1:K1"/>
    <mergeCell ref="A3:K3"/>
    <mergeCell ref="A53:I53"/>
    <mergeCell ref="A73:I73"/>
    <mergeCell ref="A111:I111"/>
    <mergeCell ref="A94:I94"/>
    <mergeCell ref="A46:J46"/>
    <mergeCell ref="A48:J48"/>
    <mergeCell ref="A86:J86"/>
    <mergeCell ref="A88:J88"/>
  </mergeCells>
  <phoneticPr fontId="9" type="noConversion"/>
  <printOptions horizontalCentered="1"/>
  <pageMargins left="0.9" right="0.4" top="1" bottom="0.45" header="0" footer="0"/>
  <pageSetup scale="95" orientation="portrait" r:id="rId1"/>
  <headerFooter alignWithMargins="0"/>
  <rowBreaks count="2" manualBreakCount="2">
    <brk id="45" max="9" man="1"/>
    <brk id="8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20"/>
  <sheetViews>
    <sheetView workbookViewId="0">
      <selection activeCell="Q13" sqref="Q13"/>
    </sheetView>
  </sheetViews>
  <sheetFormatPr defaultColWidth="8.88671875" defaultRowHeight="12.75"/>
  <cols>
    <col min="1" max="1" width="13.44140625" style="182" customWidth="1"/>
    <col min="2" max="2" width="0.88671875" style="182" customWidth="1"/>
    <col min="3" max="3" width="1.6640625" style="182" customWidth="1"/>
    <col min="4" max="4" width="7.21875" style="182" bestFit="1" customWidth="1"/>
    <col min="5" max="5" width="1" style="182" customWidth="1"/>
    <col min="6" max="6" width="7.44140625" style="182" customWidth="1"/>
    <col min="7" max="7" width="1.109375" style="182" customWidth="1"/>
    <col min="8" max="8" width="7.5546875" style="182" customWidth="1"/>
    <col min="9" max="9" width="2.21875" style="182" customWidth="1"/>
    <col min="10" max="10" width="7.44140625" style="182" customWidth="1"/>
    <col min="11" max="11" width="1" style="182" customWidth="1"/>
    <col min="12" max="12" width="7.44140625" style="182" customWidth="1"/>
    <col min="13" max="13" width="1.44140625" style="182" customWidth="1"/>
    <col min="14" max="14" width="7.88671875" style="182" customWidth="1"/>
    <col min="15" max="16384" width="8.88671875" style="182"/>
  </cols>
  <sheetData>
    <row r="1" spans="1:18" s="181" customFormat="1" ht="15">
      <c r="A1" s="1034" t="s">
        <v>802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</row>
    <row r="2" spans="1:18" s="181" customForma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984"/>
      <c r="R2" s="984"/>
    </row>
    <row r="3" spans="1:18" s="181" customFormat="1" ht="14.25">
      <c r="A3" s="1032" t="s">
        <v>170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Q3" s="984"/>
      <c r="R3" s="984"/>
    </row>
    <row r="4" spans="1:18" s="181" customFormat="1" ht="13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Q4" s="984"/>
      <c r="R4" s="984"/>
    </row>
    <row r="5" spans="1:18">
      <c r="Q5" s="985"/>
      <c r="R5" s="985"/>
    </row>
    <row r="6" spans="1:18" ht="15">
      <c r="A6" s="32" t="s">
        <v>390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8" ht="15">
      <c r="A8" s="4" t="s">
        <v>441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8" ht="15">
      <c r="A9" s="4" t="s">
        <v>447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>
      <c r="A11" s="4"/>
      <c r="B11" s="4"/>
      <c r="C11" s="4"/>
      <c r="I11" s="4"/>
      <c r="J11" s="2" t="s">
        <v>188</v>
      </c>
      <c r="K11" s="2"/>
      <c r="L11" s="2"/>
      <c r="M11" s="4"/>
      <c r="N11" s="4"/>
    </row>
    <row r="12" spans="1:18">
      <c r="A12" s="4"/>
      <c r="B12" s="4"/>
      <c r="C12" s="4"/>
      <c r="D12" s="1043" t="s">
        <v>431</v>
      </c>
      <c r="E12" s="1043"/>
      <c r="F12" s="1043"/>
      <c r="G12" s="1043"/>
      <c r="H12" s="1043"/>
      <c r="I12" s="4"/>
      <c r="J12" s="2" t="s">
        <v>189</v>
      </c>
      <c r="K12" s="2"/>
      <c r="L12" s="2"/>
      <c r="M12" s="4"/>
      <c r="N12" s="4"/>
    </row>
    <row r="13" spans="1:18">
      <c r="A13" s="2" t="s">
        <v>171</v>
      </c>
      <c r="B13" s="4"/>
      <c r="C13" s="4"/>
      <c r="D13" s="7" t="s">
        <v>183</v>
      </c>
      <c r="E13" s="184"/>
      <c r="F13" s="33" t="s">
        <v>180</v>
      </c>
      <c r="G13" s="142"/>
      <c r="H13" s="33" t="s">
        <v>185</v>
      </c>
      <c r="I13" s="4"/>
      <c r="J13" s="9" t="s">
        <v>180</v>
      </c>
      <c r="K13" s="14"/>
      <c r="L13" s="9" t="s">
        <v>185</v>
      </c>
      <c r="M13" s="4"/>
      <c r="N13" s="7" t="s">
        <v>180</v>
      </c>
    </row>
    <row r="14" spans="1:18">
      <c r="A14" s="2" t="s">
        <v>172</v>
      </c>
      <c r="B14" s="4"/>
      <c r="C14" s="4"/>
      <c r="D14" s="170" t="s">
        <v>184</v>
      </c>
      <c r="F14" s="7" t="s">
        <v>186</v>
      </c>
      <c r="G14" s="4"/>
      <c r="H14" s="7" t="s">
        <v>186</v>
      </c>
      <c r="I14" s="4"/>
      <c r="J14" s="7" t="s">
        <v>573</v>
      </c>
      <c r="K14" s="4"/>
      <c r="L14" s="7" t="s">
        <v>186</v>
      </c>
      <c r="M14" s="4"/>
      <c r="N14" s="7" t="s">
        <v>348</v>
      </c>
    </row>
    <row r="15" spans="1:18">
      <c r="A15" s="8" t="s">
        <v>173</v>
      </c>
      <c r="B15" s="4"/>
      <c r="C15" s="4"/>
      <c r="D15" s="9" t="s">
        <v>181</v>
      </c>
      <c r="F15" s="399">
        <v>-3</v>
      </c>
      <c r="G15" s="4"/>
      <c r="H15" s="9" t="s">
        <v>454</v>
      </c>
      <c r="I15" s="4"/>
      <c r="J15" s="399">
        <v>-5</v>
      </c>
      <c r="K15" s="4"/>
      <c r="L15" s="9" t="s">
        <v>455</v>
      </c>
      <c r="M15" s="4"/>
      <c r="N15" s="399">
        <v>-7</v>
      </c>
    </row>
    <row r="16" spans="1:18">
      <c r="A16" s="4"/>
      <c r="B16" s="4"/>
      <c r="C16" s="4"/>
      <c r="D16" s="184"/>
      <c r="F16" s="4"/>
      <c r="G16" s="4"/>
      <c r="H16" s="12">
        <f>+'Ft  1to4'!T42</f>
        <v>0.27055753663851184</v>
      </c>
      <c r="I16" s="12"/>
      <c r="J16" s="12"/>
      <c r="K16" s="12"/>
      <c r="L16" s="12">
        <f>1-H16</f>
        <v>0.72944246336148821</v>
      </c>
      <c r="M16" s="4"/>
      <c r="N16" s="4"/>
    </row>
    <row r="17" spans="1:14">
      <c r="A17" s="10" t="s">
        <v>252</v>
      </c>
      <c r="B17" s="4"/>
      <c r="C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4" t="s">
        <v>318</v>
      </c>
      <c r="B18" s="4"/>
      <c r="C18" s="4"/>
      <c r="D18" s="388">
        <f>+'Ft  1to4'!R19</f>
        <v>135717</v>
      </c>
      <c r="F18" s="311">
        <f>+ROUND(D18/$D$25,4)</f>
        <v>0.39040000000000002</v>
      </c>
      <c r="G18" s="12"/>
      <c r="H18" s="311">
        <f>ROUND(+F18*H$16,4)</f>
        <v>0.1056</v>
      </c>
      <c r="I18" s="12"/>
      <c r="J18" s="311">
        <f>+'Ftr 3 &amp; 6'!K39</f>
        <v>0.57330000000000003</v>
      </c>
      <c r="K18" s="12"/>
      <c r="L18" s="311">
        <f>ROUND(+J18*L$16,4)</f>
        <v>0.41820000000000002</v>
      </c>
      <c r="M18" s="12"/>
      <c r="N18" s="311">
        <f t="shared" ref="N18:N23" si="0">L18+H18</f>
        <v>0.52380000000000004</v>
      </c>
    </row>
    <row r="19" spans="1:14">
      <c r="A19" s="4" t="s">
        <v>314</v>
      </c>
      <c r="B19" s="4"/>
      <c r="C19" s="4"/>
      <c r="D19" s="388">
        <f>+'Ft  1to4'!R20</f>
        <v>81643</v>
      </c>
      <c r="E19" s="184"/>
      <c r="F19" s="311">
        <f t="shared" ref="F19:F23" si="1">+ROUND(D19/$D$25,4)</f>
        <v>0.2349</v>
      </c>
      <c r="G19" s="12"/>
      <c r="H19" s="311">
        <f t="shared" ref="H19:H23" si="2">ROUND(+F19*H$16,4)</f>
        <v>6.3600000000000004E-2</v>
      </c>
      <c r="I19" s="12"/>
      <c r="J19" s="311">
        <f>+'Ftr 3 &amp; 6'!K40</f>
        <v>0.30890000000000001</v>
      </c>
      <c r="K19" s="12"/>
      <c r="L19" s="311">
        <f t="shared" ref="L19:L23" si="3">ROUND(+J19*L$16,4)</f>
        <v>0.2253</v>
      </c>
      <c r="M19" s="12"/>
      <c r="N19" s="311">
        <f t="shared" si="0"/>
        <v>0.28889999999999999</v>
      </c>
    </row>
    <row r="20" spans="1:14">
      <c r="A20" s="4" t="s">
        <v>315</v>
      </c>
      <c r="B20" s="4"/>
      <c r="C20" s="4"/>
      <c r="D20" s="388">
        <f>+'Ft  1to4'!R21</f>
        <v>29803</v>
      </c>
      <c r="E20" s="184"/>
      <c r="F20" s="311">
        <f t="shared" si="1"/>
        <v>8.5699999999999998E-2</v>
      </c>
      <c r="G20" s="12"/>
      <c r="H20" s="311">
        <f t="shared" si="2"/>
        <v>2.3199999999999998E-2</v>
      </c>
      <c r="I20" s="12"/>
      <c r="J20" s="311">
        <f>+'Ftr 3 &amp; 6'!K41</f>
        <v>7.5600000000000001E-2</v>
      </c>
      <c r="K20" s="12"/>
      <c r="L20" s="311">
        <f t="shared" si="3"/>
        <v>5.5100000000000003E-2</v>
      </c>
      <c r="M20" s="12"/>
      <c r="N20" s="311">
        <f t="shared" si="0"/>
        <v>7.8300000000000008E-2</v>
      </c>
    </row>
    <row r="21" spans="1:14">
      <c r="A21" s="4" t="s">
        <v>316</v>
      </c>
      <c r="B21" s="4"/>
      <c r="C21" s="4"/>
      <c r="D21" s="388">
        <f>+'Ft  1to4'!R22</f>
        <v>59288</v>
      </c>
      <c r="E21" s="184"/>
      <c r="F21" s="311">
        <f t="shared" si="1"/>
        <v>0.1706</v>
      </c>
      <c r="G21" s="12"/>
      <c r="H21" s="311">
        <f t="shared" si="2"/>
        <v>4.6199999999999998E-2</v>
      </c>
      <c r="I21" s="12"/>
      <c r="J21" s="311">
        <f>+'Ftr 3 &amp; 6'!K42</f>
        <v>4.2200000000000001E-2</v>
      </c>
      <c r="K21" s="12"/>
      <c r="L21" s="311">
        <f t="shared" ref="L21" si="4">ROUND(+J21*L$16,4)</f>
        <v>3.0800000000000001E-2</v>
      </c>
      <c r="M21" s="12"/>
      <c r="N21" s="311">
        <f t="shared" si="0"/>
        <v>7.6999999999999999E-2</v>
      </c>
    </row>
    <row r="22" spans="1:14" s="184" customFormat="1">
      <c r="A22" s="142" t="s">
        <v>565</v>
      </c>
      <c r="B22" s="142"/>
      <c r="C22" s="142"/>
      <c r="D22" s="388"/>
      <c r="F22" s="311">
        <f t="shared" si="1"/>
        <v>0</v>
      </c>
      <c r="G22" s="133"/>
      <c r="H22" s="311">
        <f t="shared" si="2"/>
        <v>0</v>
      </c>
      <c r="I22" s="133"/>
      <c r="J22" s="311">
        <v>0</v>
      </c>
      <c r="K22" s="133"/>
      <c r="L22" s="311">
        <f t="shared" si="3"/>
        <v>0</v>
      </c>
      <c r="M22" s="133"/>
      <c r="N22" s="311">
        <f t="shared" si="0"/>
        <v>0</v>
      </c>
    </row>
    <row r="23" spans="1:14">
      <c r="A23" s="4" t="s">
        <v>424</v>
      </c>
      <c r="B23" s="4"/>
      <c r="C23" s="4"/>
      <c r="D23" s="389">
        <f>+'Ft  1to4'!Q49</f>
        <v>41149</v>
      </c>
      <c r="F23" s="378">
        <f t="shared" si="1"/>
        <v>0.11840000000000001</v>
      </c>
      <c r="G23" s="12"/>
      <c r="H23" s="378">
        <f t="shared" si="2"/>
        <v>3.2000000000000001E-2</v>
      </c>
      <c r="I23" s="12"/>
      <c r="J23" s="378">
        <v>0</v>
      </c>
      <c r="K23" s="12"/>
      <c r="L23" s="378">
        <f t="shared" si="3"/>
        <v>0</v>
      </c>
      <c r="M23" s="12"/>
      <c r="N23" s="378">
        <f t="shared" si="0"/>
        <v>3.2000000000000001E-2</v>
      </c>
    </row>
    <row r="24" spans="1:14">
      <c r="A24" s="4"/>
      <c r="B24" s="4"/>
      <c r="C24" s="4"/>
      <c r="D24" s="388"/>
      <c r="F24" s="311"/>
      <c r="G24" s="12"/>
      <c r="H24" s="311"/>
      <c r="I24" s="12"/>
      <c r="J24" s="311"/>
      <c r="K24" s="12"/>
      <c r="L24" s="311"/>
      <c r="M24" s="12"/>
      <c r="N24" s="311"/>
    </row>
    <row r="25" spans="1:14" ht="13.5" thickBot="1">
      <c r="A25" s="4" t="s">
        <v>176</v>
      </c>
      <c r="B25" s="4"/>
      <c r="C25" s="4"/>
      <c r="D25" s="390">
        <f>SUM(D18:D24)</f>
        <v>347600</v>
      </c>
      <c r="F25" s="385">
        <f>SUM(F18:F23)</f>
        <v>1</v>
      </c>
      <c r="G25" s="4"/>
      <c r="H25" s="385">
        <f>SUM(H18:H23)</f>
        <v>0.27060000000000001</v>
      </c>
      <c r="I25" s="4"/>
      <c r="J25" s="385">
        <f>SUM(J18:J23)</f>
        <v>1</v>
      </c>
      <c r="K25" s="4"/>
      <c r="L25" s="385">
        <f>SUM(L18:L23)</f>
        <v>0.72940000000000005</v>
      </c>
      <c r="M25" s="4"/>
      <c r="N25" s="385">
        <f>SUM(N18:N23)</f>
        <v>1</v>
      </c>
    </row>
    <row r="26" spans="1:14" ht="13.5" thickTop="1"/>
    <row r="28" spans="1:14" ht="15">
      <c r="A28" s="1039"/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</row>
    <row r="29" spans="1:14">
      <c r="A29" s="983"/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4"/>
      <c r="N29" s="984"/>
    </row>
    <row r="30" spans="1:14" ht="14.25">
      <c r="A30" s="1040"/>
      <c r="B30" s="1040"/>
      <c r="C30" s="1040"/>
      <c r="D30" s="1040"/>
      <c r="E30" s="1040"/>
      <c r="F30" s="1040"/>
      <c r="G30" s="1040"/>
      <c r="H30" s="1040"/>
      <c r="I30" s="1040"/>
      <c r="J30" s="1040"/>
      <c r="K30" s="1040"/>
      <c r="L30" s="1040"/>
      <c r="M30" s="1040"/>
      <c r="N30" s="1040"/>
    </row>
    <row r="31" spans="1:14">
      <c r="A31" s="985"/>
      <c r="B31" s="985"/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</row>
    <row r="32" spans="1:14">
      <c r="A32" s="985"/>
      <c r="B32" s="985"/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</row>
    <row r="33" spans="1:14" s="259" customFormat="1">
      <c r="A33" s="986"/>
      <c r="B33" s="986"/>
      <c r="C33" s="986"/>
      <c r="D33" s="986"/>
      <c r="E33" s="986"/>
      <c r="F33" s="986"/>
      <c r="G33" s="986"/>
      <c r="H33" s="986"/>
      <c r="I33" s="986"/>
      <c r="J33" s="986"/>
      <c r="K33" s="986"/>
      <c r="L33" s="986"/>
      <c r="M33" s="984"/>
      <c r="N33" s="984"/>
    </row>
    <row r="34" spans="1:14" s="259" customFormat="1">
      <c r="A34" s="986"/>
      <c r="B34" s="986"/>
      <c r="C34" s="986"/>
      <c r="D34" s="986"/>
      <c r="E34" s="986"/>
      <c r="F34" s="986"/>
      <c r="G34" s="986"/>
      <c r="H34" s="986"/>
      <c r="I34" s="986"/>
      <c r="J34" s="986"/>
      <c r="K34" s="986"/>
      <c r="L34" s="986"/>
      <c r="M34" s="984"/>
      <c r="N34" s="984"/>
    </row>
    <row r="35" spans="1:14" s="259" customFormat="1">
      <c r="A35" s="986"/>
      <c r="B35" s="986"/>
      <c r="C35" s="986"/>
      <c r="D35" s="986"/>
      <c r="E35" s="986"/>
      <c r="F35" s="986"/>
      <c r="G35" s="986"/>
      <c r="H35" s="986"/>
      <c r="I35" s="986"/>
      <c r="J35" s="986"/>
      <c r="K35" s="986"/>
      <c r="L35" s="986"/>
      <c r="M35" s="984"/>
      <c r="N35" s="984"/>
    </row>
    <row r="36" spans="1:14" s="259" customFormat="1" ht="27.6" customHeight="1">
      <c r="A36" s="1042"/>
      <c r="B36" s="1042"/>
      <c r="C36" s="1042"/>
      <c r="D36" s="1042"/>
      <c r="E36" s="1042"/>
      <c r="F36" s="1042"/>
      <c r="G36" s="1042"/>
      <c r="H36" s="1042"/>
      <c r="I36" s="1042"/>
      <c r="J36" s="1042"/>
      <c r="K36" s="1042"/>
      <c r="L36" s="1042"/>
      <c r="M36" s="984"/>
      <c r="N36" s="984"/>
    </row>
    <row r="37" spans="1:14" s="259" customFormat="1">
      <c r="A37" s="987"/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4"/>
      <c r="N37" s="984"/>
    </row>
    <row r="38" spans="1:14" s="259" customFormat="1">
      <c r="A38" s="986"/>
      <c r="B38" s="986"/>
      <c r="C38" s="986"/>
      <c r="D38" s="984"/>
      <c r="E38" s="984"/>
      <c r="F38" s="988"/>
      <c r="G38" s="988"/>
      <c r="H38" s="988"/>
      <c r="I38" s="986"/>
      <c r="J38" s="984"/>
      <c r="K38" s="984"/>
      <c r="L38" s="984"/>
      <c r="M38" s="986"/>
      <c r="N38" s="986"/>
    </row>
    <row r="39" spans="1:14" s="259" customFormat="1">
      <c r="A39" s="986"/>
      <c r="B39" s="986"/>
      <c r="C39" s="986"/>
      <c r="D39" s="984"/>
      <c r="E39" s="984"/>
      <c r="F39" s="983"/>
      <c r="G39" s="983"/>
      <c r="H39" s="983"/>
      <c r="I39" s="986"/>
      <c r="J39" s="988"/>
      <c r="K39" s="988"/>
      <c r="L39" s="988"/>
      <c r="M39" s="986"/>
      <c r="N39" s="986"/>
    </row>
    <row r="40" spans="1:14" s="259" customFormat="1">
      <c r="A40" s="986"/>
      <c r="B40" s="986"/>
      <c r="C40" s="986"/>
      <c r="D40" s="984"/>
      <c r="E40" s="984"/>
      <c r="F40" s="983"/>
      <c r="G40" s="983"/>
      <c r="H40" s="983"/>
      <c r="I40" s="986"/>
      <c r="J40" s="983"/>
      <c r="K40" s="983"/>
      <c r="L40" s="983"/>
      <c r="M40" s="986"/>
      <c r="N40" s="986"/>
    </row>
    <row r="41" spans="1:14" s="259" customFormat="1">
      <c r="A41" s="983"/>
      <c r="B41" s="983"/>
      <c r="C41" s="986"/>
      <c r="D41" s="984"/>
      <c r="E41" s="984"/>
      <c r="F41" s="989"/>
      <c r="G41" s="989"/>
      <c r="H41" s="989"/>
      <c r="I41" s="990"/>
      <c r="J41" s="989"/>
      <c r="K41" s="989"/>
      <c r="L41" s="989"/>
      <c r="M41" s="990"/>
      <c r="N41" s="990"/>
    </row>
    <row r="42" spans="1:14" s="259" customFormat="1">
      <c r="A42" s="983"/>
      <c r="B42" s="983"/>
      <c r="C42" s="986"/>
      <c r="D42" s="984"/>
      <c r="E42" s="984"/>
      <c r="F42" s="990"/>
      <c r="G42" s="990"/>
      <c r="H42" s="990"/>
      <c r="I42" s="990"/>
      <c r="J42" s="990"/>
      <c r="K42" s="990"/>
      <c r="L42" s="990"/>
      <c r="M42" s="990"/>
      <c r="N42" s="990"/>
    </row>
    <row r="43" spans="1:14" s="259" customFormat="1">
      <c r="A43" s="991"/>
      <c r="B43" s="991"/>
      <c r="C43" s="986"/>
      <c r="D43" s="984"/>
      <c r="E43" s="984"/>
      <c r="F43" s="989"/>
      <c r="G43" s="986"/>
      <c r="H43" s="992"/>
      <c r="I43" s="986"/>
      <c r="J43" s="993"/>
      <c r="K43" s="986"/>
      <c r="L43" s="992"/>
      <c r="M43" s="986"/>
      <c r="N43" s="992"/>
    </row>
    <row r="44" spans="1:14" s="259" customFormat="1">
      <c r="A44" s="986"/>
      <c r="B44" s="986"/>
      <c r="C44" s="994"/>
      <c r="D44" s="984"/>
      <c r="E44" s="984"/>
      <c r="F44" s="994"/>
      <c r="G44" s="986"/>
      <c r="H44" s="995"/>
      <c r="I44" s="995"/>
      <c r="J44" s="995"/>
      <c r="K44" s="995"/>
      <c r="L44" s="995"/>
      <c r="M44" s="995"/>
      <c r="N44" s="996"/>
    </row>
    <row r="45" spans="1:14" s="259" customFormat="1">
      <c r="A45" s="997"/>
      <c r="B45" s="547"/>
      <c r="C45" s="954"/>
      <c r="D45" s="984"/>
      <c r="E45" s="984"/>
      <c r="F45" s="954"/>
      <c r="G45" s="547"/>
      <c r="H45" s="547"/>
      <c r="I45" s="547"/>
      <c r="J45" s="984"/>
      <c r="K45" s="984"/>
      <c r="L45" s="984"/>
      <c r="M45" s="984"/>
      <c r="N45" s="984"/>
    </row>
    <row r="46" spans="1:14" s="259" customFormat="1" ht="13.5" customHeight="1">
      <c r="A46" s="547"/>
      <c r="B46" s="547"/>
      <c r="C46" s="568"/>
      <c r="D46" s="984"/>
      <c r="E46" s="984"/>
      <c r="F46" s="998"/>
      <c r="G46" s="999"/>
      <c r="H46" s="1000"/>
      <c r="I46" s="1001"/>
      <c r="J46" s="1002"/>
      <c r="K46" s="984"/>
      <c r="L46" s="1003"/>
      <c r="M46" s="984"/>
      <c r="N46" s="1003"/>
    </row>
    <row r="47" spans="1:14" s="259" customFormat="1">
      <c r="A47" s="547"/>
      <c r="B47" s="547"/>
      <c r="C47" s="568"/>
      <c r="D47" s="984"/>
      <c r="E47" s="984"/>
      <c r="F47" s="998"/>
      <c r="G47" s="999"/>
      <c r="H47" s="1000"/>
      <c r="I47" s="1001"/>
      <c r="J47" s="1002"/>
      <c r="K47" s="984"/>
      <c r="L47" s="1003"/>
      <c r="M47" s="984"/>
      <c r="N47" s="1003"/>
    </row>
    <row r="48" spans="1:14" s="259" customFormat="1">
      <c r="A48" s="547"/>
      <c r="B48" s="547"/>
      <c r="C48" s="568"/>
      <c r="D48" s="984"/>
      <c r="E48" s="984"/>
      <c r="F48" s="998"/>
      <c r="G48" s="1004"/>
      <c r="H48" s="1000"/>
      <c r="I48" s="998"/>
      <c r="J48" s="1002"/>
      <c r="K48" s="1005"/>
      <c r="L48" s="1002"/>
      <c r="M48" s="1005"/>
      <c r="N48" s="1002"/>
    </row>
    <row r="49" spans="1:14" s="259" customFormat="1">
      <c r="A49" s="547"/>
      <c r="B49" s="547"/>
      <c r="C49" s="568"/>
      <c r="D49" s="984"/>
      <c r="E49" s="984"/>
      <c r="F49" s="998"/>
      <c r="G49" s="1004"/>
      <c r="H49" s="1000"/>
      <c r="I49" s="998"/>
      <c r="J49" s="1002"/>
      <c r="K49" s="1005"/>
      <c r="L49" s="1002"/>
      <c r="M49" s="1005"/>
      <c r="N49" s="1002"/>
    </row>
    <row r="50" spans="1:14" s="259" customFormat="1">
      <c r="A50" s="547"/>
      <c r="B50" s="547"/>
      <c r="C50" s="568"/>
      <c r="D50" s="984"/>
      <c r="E50" s="984"/>
      <c r="F50" s="998"/>
      <c r="G50" s="999"/>
      <c r="H50" s="1000"/>
      <c r="I50" s="1001"/>
      <c r="J50" s="1002"/>
      <c r="K50" s="1005"/>
      <c r="L50" s="1002"/>
      <c r="M50" s="1005"/>
      <c r="N50" s="1002"/>
    </row>
    <row r="51" spans="1:14" s="259" customFormat="1">
      <c r="A51" s="547"/>
      <c r="B51" s="547"/>
      <c r="C51" s="568"/>
      <c r="D51" s="984"/>
      <c r="E51" s="984"/>
      <c r="F51" s="1006"/>
      <c r="G51" s="999"/>
      <c r="H51" s="1007"/>
      <c r="I51" s="998"/>
      <c r="J51" s="1007"/>
      <c r="K51" s="1005"/>
      <c r="L51" s="1008"/>
      <c r="M51" s="984"/>
      <c r="N51" s="1008"/>
    </row>
    <row r="52" spans="1:14" s="259" customFormat="1">
      <c r="A52" s="547"/>
      <c r="B52" s="547"/>
      <c r="C52" s="568"/>
      <c r="D52" s="984"/>
      <c r="E52" s="984"/>
      <c r="F52" s="954"/>
      <c r="G52" s="999"/>
      <c r="H52" s="547"/>
      <c r="I52" s="998"/>
      <c r="J52" s="1005"/>
      <c r="K52" s="1005"/>
      <c r="L52" s="1005"/>
      <c r="M52" s="984"/>
      <c r="N52" s="1005"/>
    </row>
    <row r="53" spans="1:14" s="259" customFormat="1" ht="13.5" thickBot="1">
      <c r="A53" s="547"/>
      <c r="B53" s="547"/>
      <c r="C53" s="568"/>
      <c r="D53" s="984"/>
      <c r="E53" s="984"/>
      <c r="F53" s="1009"/>
      <c r="G53" s="547"/>
      <c r="H53" s="1009"/>
      <c r="I53" s="998"/>
      <c r="J53" s="1009"/>
      <c r="K53" s="998"/>
      <c r="L53" s="1009"/>
      <c r="M53" s="984"/>
      <c r="N53" s="1009"/>
    </row>
    <row r="54" spans="1:14" ht="13.5" thickTop="1">
      <c r="A54" s="984"/>
      <c r="B54" s="984"/>
      <c r="C54" s="984"/>
      <c r="D54" s="984"/>
      <c r="E54" s="984"/>
      <c r="F54" s="984"/>
      <c r="G54" s="984"/>
      <c r="H54" s="984"/>
      <c r="I54" s="984"/>
      <c r="J54" s="984"/>
      <c r="K54" s="984"/>
      <c r="L54" s="984"/>
      <c r="M54" s="984"/>
      <c r="N54" s="984"/>
    </row>
    <row r="55" spans="1:14">
      <c r="A55" s="985"/>
      <c r="B55" s="985"/>
      <c r="C55" s="985"/>
      <c r="D55" s="985"/>
      <c r="E55" s="985"/>
      <c r="F55" s="985"/>
      <c r="G55" s="985"/>
      <c r="H55" s="985"/>
      <c r="I55" s="985"/>
      <c r="J55" s="985"/>
      <c r="K55" s="985"/>
      <c r="L55" s="985"/>
      <c r="M55" s="985"/>
      <c r="N55" s="985"/>
    </row>
    <row r="56" spans="1:14" ht="15">
      <c r="A56" s="1039"/>
      <c r="B56" s="1039"/>
      <c r="C56" s="1039"/>
      <c r="D56" s="1039"/>
      <c r="E56" s="1039"/>
      <c r="F56" s="1039"/>
      <c r="G56" s="1039"/>
      <c r="H56" s="1039"/>
      <c r="I56" s="1039"/>
      <c r="J56" s="1039"/>
      <c r="K56" s="1039"/>
      <c r="L56" s="1039"/>
      <c r="M56" s="1039"/>
      <c r="N56" s="1039"/>
    </row>
    <row r="57" spans="1:14">
      <c r="A57" s="983"/>
      <c r="B57" s="983"/>
      <c r="C57" s="983"/>
      <c r="D57" s="983"/>
      <c r="E57" s="983"/>
      <c r="F57" s="983"/>
      <c r="G57" s="983"/>
      <c r="H57" s="983"/>
      <c r="I57" s="983"/>
      <c r="J57" s="983"/>
      <c r="K57" s="983"/>
      <c r="L57" s="983"/>
      <c r="M57" s="984"/>
      <c r="N57" s="984"/>
    </row>
    <row r="58" spans="1:14" ht="14.25">
      <c r="A58" s="1040"/>
      <c r="B58" s="1040"/>
      <c r="C58" s="1040"/>
      <c r="D58" s="1040"/>
      <c r="E58" s="1040"/>
      <c r="F58" s="1040"/>
      <c r="G58" s="1040"/>
      <c r="H58" s="1040"/>
      <c r="I58" s="1040"/>
      <c r="J58" s="1040"/>
      <c r="K58" s="1040"/>
      <c r="L58" s="1040"/>
      <c r="M58" s="1040"/>
      <c r="N58" s="1040"/>
    </row>
    <row r="59" spans="1:14">
      <c r="A59" s="985"/>
      <c r="B59" s="985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</row>
    <row r="60" spans="1:14">
      <c r="A60" s="985"/>
      <c r="B60" s="985"/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</row>
    <row r="61" spans="1:14" ht="15">
      <c r="A61" s="1010"/>
      <c r="B61" s="1011"/>
      <c r="C61" s="1012"/>
      <c r="D61" s="1012"/>
      <c r="E61" s="1012"/>
      <c r="F61" s="1012"/>
      <c r="G61" s="1012"/>
      <c r="H61" s="1012"/>
      <c r="I61" s="1012"/>
      <c r="J61" s="1012"/>
      <c r="K61" s="1012"/>
      <c r="L61" s="1012"/>
      <c r="M61" s="985"/>
      <c r="N61" s="985"/>
    </row>
    <row r="62" spans="1:14">
      <c r="A62" s="547"/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985"/>
      <c r="N62" s="985"/>
    </row>
    <row r="63" spans="1:14" ht="15">
      <c r="A63" s="547"/>
      <c r="B63" s="1011"/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985"/>
      <c r="N63" s="985"/>
    </row>
    <row r="64" spans="1:14" ht="15">
      <c r="A64" s="547"/>
      <c r="B64" s="1011"/>
      <c r="C64" s="1012"/>
      <c r="D64" s="1012"/>
      <c r="E64" s="1012"/>
      <c r="F64" s="1012"/>
      <c r="G64" s="1012"/>
      <c r="H64" s="1012"/>
      <c r="I64" s="1012"/>
      <c r="J64" s="1012"/>
      <c r="K64" s="1012"/>
      <c r="L64" s="1012"/>
      <c r="M64" s="985"/>
      <c r="N64" s="985"/>
    </row>
    <row r="65" spans="1:14">
      <c r="A65" s="547"/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985"/>
      <c r="N65" s="985"/>
    </row>
    <row r="66" spans="1:14">
      <c r="A66" s="547"/>
      <c r="B66" s="547"/>
      <c r="C66" s="547"/>
      <c r="D66" s="985"/>
      <c r="E66" s="985"/>
      <c r="F66" s="985"/>
      <c r="G66" s="985"/>
      <c r="H66" s="985"/>
      <c r="I66" s="547"/>
      <c r="J66" s="669"/>
      <c r="K66" s="669"/>
      <c r="L66" s="669"/>
      <c r="M66" s="547"/>
      <c r="N66" s="547"/>
    </row>
    <row r="67" spans="1:14">
      <c r="A67" s="547"/>
      <c r="B67" s="547"/>
      <c r="C67" s="547"/>
      <c r="D67" s="1041"/>
      <c r="E67" s="1041"/>
      <c r="F67" s="1041"/>
      <c r="G67" s="1041"/>
      <c r="H67" s="1041"/>
      <c r="I67" s="547"/>
      <c r="J67" s="669"/>
      <c r="K67" s="669"/>
      <c r="L67" s="669"/>
      <c r="M67" s="547"/>
      <c r="N67" s="547"/>
    </row>
    <row r="68" spans="1:14">
      <c r="A68" s="669"/>
      <c r="B68" s="547"/>
      <c r="C68" s="547"/>
      <c r="D68" s="666"/>
      <c r="E68" s="1013"/>
      <c r="F68" s="1014"/>
      <c r="G68" s="954"/>
      <c r="H68" s="1014"/>
      <c r="I68" s="547"/>
      <c r="J68" s="1015"/>
      <c r="K68" s="1016"/>
      <c r="L68" s="1015"/>
      <c r="M68" s="547"/>
      <c r="N68" s="666"/>
    </row>
    <row r="69" spans="1:14">
      <c r="A69" s="669"/>
      <c r="B69" s="547"/>
      <c r="C69" s="547"/>
      <c r="D69" s="1017"/>
      <c r="E69" s="985"/>
      <c r="F69" s="666"/>
      <c r="G69" s="547"/>
      <c r="H69" s="666"/>
      <c r="I69" s="547"/>
      <c r="J69" s="666"/>
      <c r="K69" s="547"/>
      <c r="L69" s="666"/>
      <c r="M69" s="547"/>
      <c r="N69" s="666"/>
    </row>
    <row r="70" spans="1:14">
      <c r="A70" s="1018"/>
      <c r="B70" s="547"/>
      <c r="C70" s="547"/>
      <c r="D70" s="1015"/>
      <c r="E70" s="985"/>
      <c r="F70" s="1019"/>
      <c r="G70" s="547"/>
      <c r="H70" s="1015"/>
      <c r="I70" s="547"/>
      <c r="J70" s="1019"/>
      <c r="K70" s="547"/>
      <c r="L70" s="1015"/>
      <c r="M70" s="547"/>
      <c r="N70" s="1019"/>
    </row>
    <row r="71" spans="1:14">
      <c r="A71" s="547"/>
      <c r="B71" s="547"/>
      <c r="C71" s="547"/>
      <c r="D71" s="1013"/>
      <c r="E71" s="985"/>
      <c r="F71" s="547"/>
      <c r="G71" s="547"/>
      <c r="H71" s="1001"/>
      <c r="I71" s="1001"/>
      <c r="J71" s="1001"/>
      <c r="K71" s="1001"/>
      <c r="L71" s="1001"/>
      <c r="M71" s="547"/>
      <c r="N71" s="547"/>
    </row>
    <row r="72" spans="1:14">
      <c r="A72" s="997"/>
      <c r="B72" s="547"/>
      <c r="C72" s="547"/>
      <c r="D72" s="985"/>
      <c r="E72" s="985"/>
      <c r="F72" s="547"/>
      <c r="G72" s="547"/>
      <c r="H72" s="547"/>
      <c r="I72" s="547"/>
      <c r="J72" s="547"/>
      <c r="K72" s="547"/>
      <c r="L72" s="547"/>
      <c r="M72" s="547"/>
      <c r="N72" s="547"/>
    </row>
    <row r="73" spans="1:14">
      <c r="A73" s="547"/>
      <c r="B73" s="547"/>
      <c r="C73" s="547"/>
      <c r="D73" s="1020"/>
      <c r="E73" s="985"/>
      <c r="F73" s="1021"/>
      <c r="G73" s="1001"/>
      <c r="H73" s="1021"/>
      <c r="I73" s="1001"/>
      <c r="J73" s="1021"/>
      <c r="K73" s="1001"/>
      <c r="L73" s="1021"/>
      <c r="M73" s="1001"/>
      <c r="N73" s="1021"/>
    </row>
    <row r="74" spans="1:14">
      <c r="A74" s="547"/>
      <c r="B74" s="547"/>
      <c r="C74" s="547"/>
      <c r="D74" s="1020"/>
      <c r="E74" s="1013"/>
      <c r="F74" s="1021"/>
      <c r="G74" s="1001"/>
      <c r="H74" s="1021"/>
      <c r="I74" s="1001"/>
      <c r="J74" s="1021"/>
      <c r="K74" s="1001"/>
      <c r="L74" s="1021"/>
      <c r="M74" s="1001"/>
      <c r="N74" s="1021"/>
    </row>
    <row r="75" spans="1:14">
      <c r="A75" s="547"/>
      <c r="B75" s="547"/>
      <c r="C75" s="547"/>
      <c r="D75" s="1020"/>
      <c r="E75" s="1013"/>
      <c r="F75" s="1021"/>
      <c r="G75" s="1001"/>
      <c r="H75" s="1021"/>
      <c r="I75" s="1001"/>
      <c r="J75" s="1021"/>
      <c r="K75" s="1001"/>
      <c r="L75" s="1021"/>
      <c r="M75" s="1001"/>
      <c r="N75" s="1021"/>
    </row>
    <row r="76" spans="1:14">
      <c r="A76" s="547"/>
      <c r="B76" s="547"/>
      <c r="C76" s="547"/>
      <c r="D76" s="1020"/>
      <c r="E76" s="1013"/>
      <c r="F76" s="1021"/>
      <c r="G76" s="1001"/>
      <c r="H76" s="1021"/>
      <c r="I76" s="1001"/>
      <c r="J76" s="1021"/>
      <c r="K76" s="1001"/>
      <c r="L76" s="1021"/>
      <c r="M76" s="1001"/>
      <c r="N76" s="1021"/>
    </row>
    <row r="77" spans="1:14">
      <c r="A77" s="954"/>
      <c r="B77" s="954"/>
      <c r="C77" s="954"/>
      <c r="D77" s="1020"/>
      <c r="E77" s="1013"/>
      <c r="F77" s="1021"/>
      <c r="G77" s="998"/>
      <c r="H77" s="1021"/>
      <c r="I77" s="998"/>
      <c r="J77" s="1021"/>
      <c r="K77" s="998"/>
      <c r="L77" s="1021"/>
      <c r="M77" s="998"/>
      <c r="N77" s="1021"/>
    </row>
    <row r="78" spans="1:14">
      <c r="A78" s="547"/>
      <c r="B78" s="547"/>
      <c r="C78" s="547"/>
      <c r="D78" s="1022"/>
      <c r="E78" s="985"/>
      <c r="F78" s="1023"/>
      <c r="G78" s="1001"/>
      <c r="H78" s="1023"/>
      <c r="I78" s="1001"/>
      <c r="J78" s="1023"/>
      <c r="K78" s="1001"/>
      <c r="L78" s="1023"/>
      <c r="M78" s="1001"/>
      <c r="N78" s="1023"/>
    </row>
    <row r="79" spans="1:14">
      <c r="A79" s="547"/>
      <c r="B79" s="547"/>
      <c r="C79" s="547"/>
      <c r="D79" s="1020"/>
      <c r="E79" s="985"/>
      <c r="F79" s="1021"/>
      <c r="G79" s="1001"/>
      <c r="H79" s="1021"/>
      <c r="I79" s="1001"/>
      <c r="J79" s="1021"/>
      <c r="K79" s="1001"/>
      <c r="L79" s="1021"/>
      <c r="M79" s="1001"/>
      <c r="N79" s="1021"/>
    </row>
    <row r="80" spans="1:14" ht="13.5" thickBot="1">
      <c r="A80" s="547"/>
      <c r="B80" s="547"/>
      <c r="C80" s="547"/>
      <c r="D80" s="1024"/>
      <c r="E80" s="985"/>
      <c r="F80" s="1025"/>
      <c r="G80" s="547"/>
      <c r="H80" s="1025"/>
      <c r="I80" s="547"/>
      <c r="J80" s="1025"/>
      <c r="K80" s="547"/>
      <c r="L80" s="1025"/>
      <c r="M80" s="547"/>
      <c r="N80" s="1025"/>
    </row>
    <row r="81" spans="1:14" ht="13.5" thickTop="1">
      <c r="A81" s="985"/>
      <c r="B81" s="985"/>
      <c r="C81" s="985"/>
      <c r="D81" s="985"/>
      <c r="E81" s="985"/>
      <c r="F81" s="985"/>
      <c r="G81" s="985"/>
      <c r="H81" s="985"/>
      <c r="I81" s="985"/>
      <c r="J81" s="985"/>
      <c r="K81" s="985"/>
      <c r="L81" s="985"/>
      <c r="M81" s="985"/>
      <c r="N81" s="985"/>
    </row>
    <row r="82" spans="1:14">
      <c r="A82" s="985"/>
      <c r="B82" s="985"/>
      <c r="C82" s="985"/>
      <c r="D82" s="985"/>
      <c r="E82" s="985"/>
      <c r="F82" s="985"/>
      <c r="G82" s="985"/>
      <c r="H82" s="985"/>
      <c r="I82" s="985"/>
      <c r="J82" s="985"/>
      <c r="K82" s="985"/>
      <c r="L82" s="985"/>
      <c r="M82" s="985"/>
      <c r="N82" s="985"/>
    </row>
    <row r="83" spans="1:14">
      <c r="A83" s="985"/>
      <c r="B83" s="985"/>
      <c r="C83" s="985"/>
      <c r="D83" s="985"/>
      <c r="E83" s="985"/>
      <c r="F83" s="985"/>
      <c r="G83" s="985"/>
      <c r="H83" s="985"/>
      <c r="I83" s="985"/>
      <c r="J83" s="985"/>
      <c r="K83" s="985"/>
      <c r="L83" s="985"/>
      <c r="M83" s="985"/>
      <c r="N83" s="985"/>
    </row>
    <row r="84" spans="1:14">
      <c r="A84" s="985"/>
      <c r="B84" s="985"/>
      <c r="C84" s="985"/>
      <c r="D84" s="985"/>
      <c r="E84" s="985"/>
      <c r="F84" s="985"/>
      <c r="G84" s="985"/>
      <c r="H84" s="985"/>
      <c r="I84" s="985"/>
      <c r="J84" s="985"/>
      <c r="K84" s="985"/>
      <c r="L84" s="985"/>
      <c r="M84" s="985"/>
      <c r="N84" s="985"/>
    </row>
    <row r="85" spans="1:14">
      <c r="A85" s="985"/>
      <c r="B85" s="985"/>
      <c r="C85" s="985"/>
      <c r="D85" s="985"/>
      <c r="E85" s="985"/>
      <c r="F85" s="985"/>
      <c r="G85" s="985"/>
      <c r="H85" s="985"/>
      <c r="I85" s="985"/>
      <c r="J85" s="985"/>
      <c r="K85" s="985"/>
      <c r="L85" s="985"/>
      <c r="M85" s="985"/>
      <c r="N85" s="985"/>
    </row>
    <row r="86" spans="1:14">
      <c r="A86" s="985"/>
      <c r="B86" s="985"/>
      <c r="C86" s="985"/>
      <c r="D86" s="985"/>
      <c r="E86" s="985"/>
      <c r="F86" s="985"/>
      <c r="G86" s="985"/>
      <c r="H86" s="985"/>
      <c r="I86" s="985"/>
      <c r="J86" s="985"/>
      <c r="K86" s="985"/>
      <c r="L86" s="985"/>
      <c r="M86" s="985"/>
      <c r="N86" s="985"/>
    </row>
    <row r="87" spans="1:14">
      <c r="A87" s="985"/>
      <c r="B87" s="985"/>
      <c r="C87" s="985"/>
      <c r="D87" s="985"/>
      <c r="E87" s="985"/>
      <c r="F87" s="985"/>
      <c r="G87" s="985"/>
      <c r="H87" s="985"/>
      <c r="I87" s="985"/>
      <c r="J87" s="985"/>
      <c r="K87" s="985"/>
      <c r="L87" s="985"/>
      <c r="M87" s="985"/>
      <c r="N87" s="985"/>
    </row>
    <row r="88" spans="1:14">
      <c r="A88" s="985"/>
      <c r="B88" s="985"/>
      <c r="C88" s="985"/>
      <c r="D88" s="985"/>
      <c r="E88" s="985"/>
      <c r="F88" s="985"/>
      <c r="G88" s="985"/>
      <c r="H88" s="985"/>
      <c r="I88" s="985"/>
      <c r="J88" s="985"/>
      <c r="K88" s="985"/>
      <c r="L88" s="985"/>
      <c r="M88" s="985"/>
      <c r="N88" s="985"/>
    </row>
    <row r="89" spans="1:14">
      <c r="A89" s="985"/>
      <c r="B89" s="985"/>
      <c r="C89" s="985"/>
      <c r="D89" s="985"/>
      <c r="E89" s="985"/>
      <c r="F89" s="985"/>
      <c r="G89" s="985"/>
      <c r="H89" s="985"/>
      <c r="I89" s="985"/>
      <c r="J89" s="985"/>
      <c r="K89" s="985"/>
      <c r="L89" s="985"/>
      <c r="M89" s="985"/>
      <c r="N89" s="985"/>
    </row>
    <row r="90" spans="1:14">
      <c r="A90" s="985"/>
      <c r="B90" s="985"/>
      <c r="C90" s="985"/>
      <c r="D90" s="985"/>
      <c r="E90" s="985"/>
      <c r="F90" s="985"/>
      <c r="G90" s="985"/>
      <c r="H90" s="985"/>
      <c r="I90" s="985"/>
      <c r="J90" s="985"/>
      <c r="K90" s="985"/>
      <c r="L90" s="985"/>
      <c r="M90" s="985"/>
      <c r="N90" s="985"/>
    </row>
    <row r="91" spans="1:14">
      <c r="A91" s="985"/>
      <c r="B91" s="985"/>
      <c r="C91" s="985"/>
      <c r="D91" s="985"/>
      <c r="E91" s="985"/>
      <c r="F91" s="985"/>
      <c r="G91" s="985"/>
      <c r="H91" s="985"/>
      <c r="I91" s="985"/>
      <c r="J91" s="985"/>
      <c r="K91" s="985"/>
      <c r="L91" s="985"/>
      <c r="M91" s="985"/>
      <c r="N91" s="985"/>
    </row>
    <row r="92" spans="1:14">
      <c r="A92" s="985"/>
      <c r="B92" s="985"/>
      <c r="C92" s="985"/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</row>
    <row r="93" spans="1:14">
      <c r="A93" s="985"/>
      <c r="B93" s="985"/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</row>
    <row r="94" spans="1:14">
      <c r="A94" s="985"/>
      <c r="B94" s="985"/>
      <c r="C94" s="985"/>
      <c r="D94" s="985"/>
      <c r="E94" s="985"/>
      <c r="F94" s="985"/>
      <c r="G94" s="985"/>
      <c r="H94" s="985"/>
      <c r="I94" s="985"/>
      <c r="J94" s="985"/>
      <c r="K94" s="985"/>
      <c r="L94" s="985"/>
      <c r="M94" s="985"/>
      <c r="N94" s="985"/>
    </row>
    <row r="95" spans="1:14">
      <c r="A95" s="985"/>
      <c r="B95" s="985"/>
      <c r="C95" s="985"/>
      <c r="D95" s="985"/>
      <c r="E95" s="985"/>
      <c r="F95" s="985"/>
      <c r="G95" s="985"/>
      <c r="H95" s="985"/>
      <c r="I95" s="985"/>
      <c r="J95" s="985"/>
      <c r="K95" s="985"/>
      <c r="L95" s="985"/>
      <c r="M95" s="985"/>
      <c r="N95" s="985"/>
    </row>
    <row r="96" spans="1:14">
      <c r="A96" s="985"/>
      <c r="B96" s="985"/>
      <c r="C96" s="985"/>
      <c r="D96" s="985"/>
      <c r="E96" s="985"/>
      <c r="F96" s="985"/>
      <c r="G96" s="985"/>
      <c r="H96" s="985"/>
      <c r="I96" s="985"/>
      <c r="J96" s="985"/>
      <c r="K96" s="985"/>
      <c r="L96" s="985"/>
      <c r="M96" s="985"/>
      <c r="N96" s="985"/>
    </row>
    <row r="97" spans="1:14">
      <c r="A97" s="985"/>
      <c r="B97" s="985"/>
      <c r="C97" s="985"/>
      <c r="D97" s="985"/>
      <c r="E97" s="985"/>
      <c r="F97" s="985"/>
      <c r="G97" s="985"/>
      <c r="H97" s="985"/>
      <c r="I97" s="985"/>
      <c r="J97" s="985"/>
      <c r="K97" s="985"/>
      <c r="L97" s="985"/>
      <c r="M97" s="985"/>
      <c r="N97" s="985"/>
    </row>
    <row r="98" spans="1:14">
      <c r="A98" s="985"/>
      <c r="B98" s="985"/>
      <c r="C98" s="985"/>
      <c r="D98" s="985"/>
      <c r="E98" s="985"/>
      <c r="F98" s="985"/>
      <c r="G98" s="985"/>
      <c r="H98" s="985"/>
      <c r="I98" s="985"/>
      <c r="J98" s="985"/>
      <c r="K98" s="985"/>
      <c r="L98" s="985"/>
      <c r="M98" s="985"/>
      <c r="N98" s="985"/>
    </row>
    <row r="99" spans="1:14">
      <c r="A99" s="985"/>
      <c r="B99" s="985"/>
      <c r="C99" s="985"/>
      <c r="D99" s="985"/>
      <c r="E99" s="985"/>
      <c r="F99" s="985"/>
      <c r="G99" s="985"/>
      <c r="H99" s="985"/>
      <c r="I99" s="985"/>
      <c r="J99" s="985"/>
      <c r="K99" s="985"/>
      <c r="L99" s="985"/>
      <c r="M99" s="985"/>
      <c r="N99" s="985"/>
    </row>
    <row r="100" spans="1:14">
      <c r="A100" s="985"/>
      <c r="B100" s="985"/>
      <c r="C100" s="985"/>
      <c r="D100" s="985"/>
      <c r="E100" s="985"/>
      <c r="F100" s="985"/>
      <c r="G100" s="985"/>
      <c r="H100" s="985"/>
      <c r="I100" s="985"/>
      <c r="J100" s="985"/>
      <c r="K100" s="985"/>
      <c r="L100" s="985"/>
      <c r="M100" s="985"/>
      <c r="N100" s="985"/>
    </row>
    <row r="101" spans="1:14">
      <c r="A101" s="985"/>
      <c r="B101" s="985"/>
      <c r="C101" s="985"/>
      <c r="D101" s="985"/>
      <c r="E101" s="985"/>
      <c r="F101" s="985"/>
      <c r="G101" s="985"/>
      <c r="H101" s="985"/>
      <c r="I101" s="985"/>
      <c r="J101" s="985"/>
      <c r="K101" s="985"/>
      <c r="L101" s="985"/>
      <c r="M101" s="985"/>
      <c r="N101" s="985"/>
    </row>
    <row r="102" spans="1:14">
      <c r="A102" s="985"/>
      <c r="B102" s="985"/>
      <c r="C102" s="985"/>
      <c r="D102" s="985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</row>
    <row r="103" spans="1:14">
      <c r="A103" s="985"/>
      <c r="B103" s="985"/>
      <c r="C103" s="985"/>
      <c r="D103" s="985"/>
      <c r="E103" s="985"/>
      <c r="F103" s="985"/>
      <c r="G103" s="985"/>
      <c r="H103" s="985"/>
      <c r="I103" s="985"/>
      <c r="J103" s="985"/>
      <c r="K103" s="985"/>
      <c r="L103" s="985"/>
      <c r="M103" s="985"/>
      <c r="N103" s="985"/>
    </row>
    <row r="104" spans="1:14">
      <c r="A104" s="985"/>
      <c r="B104" s="985"/>
      <c r="C104" s="985"/>
      <c r="D104" s="985"/>
      <c r="E104" s="985"/>
      <c r="F104" s="985"/>
      <c r="G104" s="985"/>
      <c r="H104" s="985"/>
      <c r="I104" s="985"/>
      <c r="J104" s="985"/>
      <c r="K104" s="985"/>
      <c r="L104" s="985"/>
      <c r="M104" s="985"/>
      <c r="N104" s="985"/>
    </row>
    <row r="105" spans="1:14">
      <c r="A105" s="985"/>
      <c r="B105" s="985"/>
      <c r="C105" s="985"/>
      <c r="D105" s="985"/>
      <c r="E105" s="985"/>
      <c r="F105" s="985"/>
      <c r="G105" s="985"/>
      <c r="H105" s="985"/>
      <c r="I105" s="985"/>
      <c r="J105" s="985"/>
      <c r="K105" s="985"/>
      <c r="L105" s="985"/>
      <c r="M105" s="985"/>
      <c r="N105" s="985"/>
    </row>
    <row r="106" spans="1:14">
      <c r="A106" s="985"/>
      <c r="B106" s="985"/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85"/>
    </row>
    <row r="107" spans="1:14">
      <c r="A107" s="985"/>
      <c r="B107" s="985"/>
      <c r="C107" s="985"/>
      <c r="D107" s="985"/>
      <c r="E107" s="985"/>
      <c r="F107" s="985"/>
      <c r="G107" s="985"/>
      <c r="H107" s="985"/>
      <c r="I107" s="985"/>
      <c r="J107" s="985"/>
      <c r="K107" s="985"/>
      <c r="L107" s="985"/>
      <c r="M107" s="985"/>
      <c r="N107" s="985"/>
    </row>
    <row r="108" spans="1:14">
      <c r="A108" s="985"/>
      <c r="B108" s="985"/>
      <c r="C108" s="985"/>
      <c r="D108" s="985"/>
      <c r="E108" s="985"/>
      <c r="F108" s="985"/>
      <c r="G108" s="985"/>
      <c r="H108" s="985"/>
      <c r="I108" s="985"/>
      <c r="J108" s="985"/>
      <c r="K108" s="985"/>
      <c r="L108" s="985"/>
      <c r="M108" s="985"/>
      <c r="N108" s="985"/>
    </row>
    <row r="109" spans="1:14">
      <c r="A109" s="985"/>
      <c r="B109" s="985"/>
      <c r="C109" s="985"/>
      <c r="D109" s="985"/>
      <c r="E109" s="985"/>
      <c r="F109" s="985"/>
      <c r="G109" s="985"/>
      <c r="H109" s="985"/>
      <c r="I109" s="985"/>
      <c r="J109" s="985"/>
      <c r="K109" s="985"/>
      <c r="L109" s="985"/>
      <c r="M109" s="985"/>
      <c r="N109" s="985"/>
    </row>
    <row r="110" spans="1:14">
      <c r="A110" s="985"/>
      <c r="B110" s="985"/>
      <c r="C110" s="985"/>
      <c r="D110" s="985"/>
      <c r="E110" s="985"/>
      <c r="F110" s="985"/>
      <c r="G110" s="985"/>
      <c r="H110" s="985"/>
      <c r="I110" s="985"/>
      <c r="J110" s="985"/>
      <c r="K110" s="985"/>
      <c r="L110" s="985"/>
      <c r="M110" s="985"/>
      <c r="N110" s="985"/>
    </row>
    <row r="111" spans="1:14">
      <c r="A111" s="985"/>
      <c r="B111" s="985"/>
      <c r="C111" s="985"/>
      <c r="D111" s="985"/>
      <c r="E111" s="985"/>
      <c r="F111" s="985"/>
      <c r="G111" s="985"/>
      <c r="H111" s="985"/>
      <c r="I111" s="985"/>
      <c r="J111" s="985"/>
      <c r="K111" s="985"/>
      <c r="L111" s="985"/>
      <c r="M111" s="985"/>
      <c r="N111" s="985"/>
    </row>
    <row r="112" spans="1:14">
      <c r="A112" s="985"/>
      <c r="B112" s="985"/>
      <c r="C112" s="985"/>
      <c r="D112" s="985"/>
      <c r="E112" s="985"/>
      <c r="F112" s="985"/>
      <c r="G112" s="985"/>
      <c r="H112" s="985"/>
      <c r="I112" s="985"/>
      <c r="J112" s="985"/>
      <c r="K112" s="985"/>
      <c r="L112" s="985"/>
      <c r="M112" s="985"/>
      <c r="N112" s="985"/>
    </row>
    <row r="113" spans="1:14">
      <c r="A113" s="985"/>
      <c r="B113" s="985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</row>
    <row r="114" spans="1:14">
      <c r="A114" s="985"/>
      <c r="B114" s="985"/>
      <c r="C114" s="985"/>
      <c r="D114" s="985"/>
      <c r="E114" s="985"/>
      <c r="F114" s="985"/>
      <c r="G114" s="985"/>
      <c r="H114" s="985"/>
      <c r="I114" s="985"/>
      <c r="J114" s="985"/>
      <c r="K114" s="985"/>
      <c r="L114" s="985"/>
      <c r="M114" s="985"/>
      <c r="N114" s="985"/>
    </row>
    <row r="115" spans="1:14">
      <c r="A115" s="985"/>
      <c r="B115" s="985"/>
      <c r="C115" s="985"/>
      <c r="D115" s="985"/>
      <c r="E115" s="985"/>
      <c r="F115" s="985"/>
      <c r="G115" s="985"/>
      <c r="H115" s="985"/>
      <c r="I115" s="985"/>
      <c r="J115" s="985"/>
      <c r="K115" s="985"/>
      <c r="L115" s="985"/>
      <c r="M115" s="985"/>
      <c r="N115" s="985"/>
    </row>
    <row r="116" spans="1:14">
      <c r="A116" s="985"/>
      <c r="B116" s="985"/>
      <c r="C116" s="985"/>
      <c r="D116" s="985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</row>
    <row r="117" spans="1:14">
      <c r="A117" s="985"/>
      <c r="B117" s="985"/>
      <c r="C117" s="985"/>
      <c r="D117" s="985"/>
      <c r="E117" s="985"/>
      <c r="F117" s="985"/>
      <c r="G117" s="985"/>
      <c r="H117" s="985"/>
      <c r="I117" s="985"/>
      <c r="J117" s="985"/>
      <c r="K117" s="985"/>
      <c r="L117" s="985"/>
      <c r="M117" s="985"/>
      <c r="N117" s="985"/>
    </row>
    <row r="118" spans="1:14">
      <c r="A118" s="985"/>
      <c r="B118" s="985"/>
      <c r="C118" s="985"/>
      <c r="D118" s="985"/>
      <c r="E118" s="985"/>
      <c r="F118" s="985"/>
      <c r="G118" s="985"/>
      <c r="H118" s="985"/>
      <c r="I118" s="985"/>
      <c r="J118" s="985"/>
      <c r="K118" s="985"/>
      <c r="L118" s="985"/>
      <c r="M118" s="985"/>
      <c r="N118" s="985"/>
    </row>
    <row r="119" spans="1:14">
      <c r="A119" s="985"/>
      <c r="B119" s="985"/>
      <c r="C119" s="985"/>
      <c r="D119" s="985"/>
      <c r="E119" s="985"/>
      <c r="F119" s="985"/>
      <c r="G119" s="985"/>
      <c r="H119" s="985"/>
      <c r="I119" s="985"/>
      <c r="J119" s="985"/>
      <c r="K119" s="985"/>
      <c r="L119" s="985"/>
      <c r="M119" s="985"/>
      <c r="N119" s="985"/>
    </row>
    <row r="120" spans="1:14">
      <c r="A120" s="985"/>
      <c r="B120" s="985"/>
      <c r="C120" s="985"/>
      <c r="D120" s="985"/>
      <c r="E120" s="985"/>
      <c r="F120" s="985"/>
      <c r="G120" s="985"/>
      <c r="H120" s="985"/>
      <c r="I120" s="985"/>
      <c r="J120" s="985"/>
      <c r="K120" s="985"/>
      <c r="L120" s="985"/>
      <c r="M120" s="985"/>
      <c r="N120" s="985"/>
    </row>
  </sheetData>
  <mergeCells count="9">
    <mergeCell ref="A3:N3"/>
    <mergeCell ref="A1:N1"/>
    <mergeCell ref="A28:N28"/>
    <mergeCell ref="A30:N30"/>
    <mergeCell ref="D67:H67"/>
    <mergeCell ref="A56:N56"/>
    <mergeCell ref="A58:N58"/>
    <mergeCell ref="A36:L36"/>
    <mergeCell ref="D12:H12"/>
  </mergeCells>
  <phoneticPr fontId="9" type="noConversion"/>
  <printOptions horizontalCentered="1"/>
  <pageMargins left="0.75" right="0.75" top="1" bottom="1" header="0.5" footer="0.5"/>
  <pageSetup orientation="portrait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Checks</vt:lpstr>
      <vt:lpstr>Linkin (2)</vt:lpstr>
      <vt:lpstr>Linkin</vt:lpstr>
      <vt:lpstr>Alloc</vt:lpstr>
      <vt:lpstr>ROR</vt:lpstr>
      <vt:lpstr>Sched.A</vt:lpstr>
      <vt:lpstr>Ft  1to4</vt:lpstr>
      <vt:lpstr>Ftr 3 &amp; 6</vt:lpstr>
      <vt:lpstr>FTR 5&amp; 5A</vt:lpstr>
      <vt:lpstr>Ft 7to9</vt:lpstr>
      <vt:lpstr>Ft 10to14</vt:lpstr>
      <vt:lpstr>Ft 15to21</vt:lpstr>
      <vt:lpstr>customer</vt:lpstr>
      <vt:lpstr>Demand</vt:lpstr>
      <vt:lpstr>checkk</vt:lpstr>
      <vt:lpstr>COMP1</vt:lpstr>
      <vt:lpstr>COMP2</vt:lpstr>
      <vt:lpstr>FACT1</vt:lpstr>
      <vt:lpstr>FACT10</vt:lpstr>
      <vt:lpstr>FACT3</vt:lpstr>
      <vt:lpstr>FACT7</vt:lpstr>
      <vt:lpstr>factors</vt:lpstr>
      <vt:lpstr>Alloc!Print_Area</vt:lpstr>
      <vt:lpstr>customer!Print_Area</vt:lpstr>
      <vt:lpstr>Demand!Print_Area</vt:lpstr>
      <vt:lpstr>'Ft  1to4'!Print_Area</vt:lpstr>
      <vt:lpstr>'Ft 10to14'!Print_Area</vt:lpstr>
      <vt:lpstr>'Ft 15to21'!Print_Area</vt:lpstr>
      <vt:lpstr>'Ft 7to9'!Print_Area</vt:lpstr>
      <vt:lpstr>'Ftr 3 &amp; 6'!Print_Area</vt:lpstr>
      <vt:lpstr>'FTR 5&amp; 5A'!Print_Area</vt:lpstr>
      <vt:lpstr>ROR!Print_Area</vt:lpstr>
      <vt:lpstr>Sched.A!Print_Area</vt:lpstr>
      <vt:lpstr>Print_Area</vt:lpstr>
      <vt:lpstr>Alloc!Print_Titles</vt:lpstr>
      <vt:lpstr>customer!Print_Titles</vt:lpstr>
      <vt:lpstr>'FTR 5&amp; 5A'!Print_Titles</vt:lpstr>
      <vt:lpstr>XHWXK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pherbert</dc:creator>
  <cp:lastModifiedBy>Herbert, Paul R.</cp:lastModifiedBy>
  <cp:lastPrinted>2019-01-21T16:43:04Z</cp:lastPrinted>
  <dcterms:created xsi:type="dcterms:W3CDTF">2006-01-25T16:27:05Z</dcterms:created>
  <dcterms:modified xsi:type="dcterms:W3CDTF">2019-01-22T15:09:31Z</dcterms:modified>
</cp:coreProperties>
</file>